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166925"/>
  <mc:AlternateContent xmlns:mc="http://schemas.openxmlformats.org/markup-compatibility/2006">
    <mc:Choice Requires="x15">
      <x15ac:absPath xmlns:x15ac="http://schemas.microsoft.com/office/spreadsheetml/2010/11/ac" url="/Users/jennitham/Dropbox (Elemental Solutions)/"/>
    </mc:Choice>
  </mc:AlternateContent>
  <xr:revisionPtr revIDLastSave="0" documentId="13_ncr:1_{6D438D4A-745E-5D47-BEBD-531176A404E7}" xr6:coauthVersionLast="47" xr6:coauthVersionMax="47" xr10:uidLastSave="{00000000-0000-0000-0000-000000000000}"/>
  <bookViews>
    <workbookView xWindow="1780" yWindow="3120" windowWidth="32440" windowHeight="16400" activeTab="3" xr2:uid="{B94175EC-3D1B-0E47-ADE8-BC052A948420}"/>
  </bookViews>
  <sheets>
    <sheet name="Intro" sheetId="8" r:id="rId1"/>
    <sheet name="2025 Calendar" sheetId="1" r:id="rId2"/>
    <sheet name="By Division 2025" sheetId="7" r:id="rId3"/>
    <sheet name="Cleaning Group" sheetId="4" r:id="rId4"/>
    <sheet name="Mowing" sheetId="6" r:id="rId5"/>
  </sheets>
  <definedNames>
    <definedName name="BlogsJanApril">'2025 Calendar'!$B$3:$X$6</definedName>
    <definedName name="BlogsMayAug">'2025 Calendar'!$B$17:$X$20</definedName>
    <definedName name="BlogsSepDec">'2025 Calendar'!$B$31:$X$34</definedName>
    <definedName name="ButtonsJanApril">'2025 Calendar'!$B$8:$X$13</definedName>
    <definedName name="ButtonsMayAug">'2025 Calendar'!$B$22:$X$27</definedName>
    <definedName name="ButtonsOctDec">'2025 Calendar'!$B$36:$X$41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 i="6" l="1"/>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12" i="7"/>
  <c r="B48" i="7"/>
  <c r="O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J89" i="1"/>
  <c r="J88" i="1"/>
  <c r="J87" i="1"/>
  <c r="J86" i="1"/>
  <c r="J85" i="1"/>
  <c r="J84" i="1"/>
  <c r="J83" i="1"/>
  <c r="N83" i="1" s="1"/>
  <c r="J82" i="1"/>
  <c r="J81" i="1"/>
  <c r="J80" i="1"/>
  <c r="J79" i="1"/>
  <c r="N79" i="1" s="1"/>
  <c r="J78" i="1"/>
  <c r="J77" i="1"/>
  <c r="J76" i="1"/>
  <c r="J75" i="1"/>
  <c r="N75" i="1" s="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5" i="1"/>
  <c r="E45" i="1"/>
  <c r="F46"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C46" i="1"/>
  <c r="C47" i="1"/>
  <c r="C48" i="1"/>
  <c r="C49" i="1"/>
  <c r="C51" i="1"/>
  <c r="C53" i="1"/>
  <c r="C54" i="1"/>
  <c r="C58" i="1"/>
  <c r="C59" i="1"/>
  <c r="C60" i="1"/>
  <c r="C62" i="1"/>
  <c r="C63" i="1"/>
  <c r="C64" i="1"/>
  <c r="C65" i="1"/>
  <c r="C67" i="1"/>
  <c r="C72" i="1"/>
  <c r="C73" i="1"/>
  <c r="C74" i="1"/>
  <c r="C76" i="1"/>
  <c r="C77" i="1"/>
  <c r="C80" i="1"/>
  <c r="C82" i="1"/>
  <c r="C83" i="1"/>
  <c r="C84" i="1"/>
  <c r="C85" i="1"/>
  <c r="C86" i="1"/>
  <c r="C87" i="1"/>
  <c r="C89" i="1"/>
  <c r="C45" i="1"/>
  <c r="E89" i="1"/>
  <c r="E88" i="1"/>
  <c r="E87" i="1"/>
  <c r="E86" i="1"/>
  <c r="E85" i="1"/>
  <c r="E84" i="1"/>
  <c r="E83" i="1"/>
  <c r="E82" i="1"/>
  <c r="E81" i="1"/>
  <c r="E80" i="1"/>
  <c r="E79" i="1"/>
  <c r="E78" i="1"/>
  <c r="E77" i="1"/>
  <c r="E76" i="1"/>
  <c r="E75" i="1"/>
  <c r="E74" i="1"/>
  <c r="E73" i="1"/>
  <c r="E72" i="1"/>
  <c r="E71" i="1"/>
  <c r="E70" i="1"/>
  <c r="E68" i="1"/>
  <c r="E67" i="1"/>
  <c r="E66" i="1"/>
  <c r="E65" i="1"/>
  <c r="E64" i="1"/>
  <c r="E63" i="1"/>
  <c r="E62" i="1"/>
  <c r="E61" i="1"/>
  <c r="E60" i="1"/>
  <c r="E59" i="1"/>
  <c r="E58" i="1"/>
  <c r="E57" i="1"/>
  <c r="E56" i="1"/>
  <c r="E55" i="1"/>
  <c r="E53" i="1"/>
  <c r="E52" i="1"/>
  <c r="E51" i="1"/>
  <c r="E50" i="1"/>
  <c r="E49" i="1"/>
  <c r="E48" i="1"/>
  <c r="E47" i="1"/>
  <c r="E69" i="1"/>
  <c r="E54" i="1"/>
  <c r="E46" i="1"/>
  <c r="N48" i="7" l="1"/>
  <c r="N72" i="1"/>
  <c r="N76" i="1"/>
  <c r="N80" i="1"/>
  <c r="N84" i="1"/>
  <c r="N88" i="1"/>
  <c r="N87" i="1"/>
  <c r="N73" i="1"/>
  <c r="N77" i="1"/>
  <c r="N81" i="1"/>
  <c r="N85" i="1"/>
  <c r="N89" i="1"/>
  <c r="N70" i="1"/>
  <c r="N74" i="1"/>
  <c r="N78" i="1"/>
  <c r="N82" i="1"/>
  <c r="N86" i="1"/>
  <c r="N71" i="1"/>
  <c r="H89" i="1"/>
  <c r="H88" i="1"/>
  <c r="H87" i="1" l="1"/>
  <c r="H86" i="1"/>
  <c r="H85" i="1"/>
  <c r="D5" i="6"/>
  <c r="E5" i="6" s="1"/>
  <c r="F5" i="6" s="1"/>
  <c r="I5" i="6" s="1"/>
  <c r="H4" i="6"/>
  <c r="I4" i="6" s="1"/>
  <c r="N3" i="6"/>
  <c r="M11" i="4"/>
  <c r="M10" i="4"/>
  <c r="M9" i="4"/>
  <c r="M8" i="4"/>
  <c r="N5" i="7"/>
  <c r="N6" i="7"/>
  <c r="N7" i="7"/>
  <c r="N8" i="7"/>
  <c r="N9" i="7"/>
  <c r="N10" i="7"/>
  <c r="N11" i="7"/>
  <c r="N13"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5" i="7"/>
  <c r="H84" i="1" l="1"/>
  <c r="H83" i="1"/>
  <c r="N4" i="6"/>
  <c r="M3" i="4"/>
  <c r="M5" i="4" l="1"/>
  <c r="M4" i="4"/>
  <c r="H80" i="1"/>
  <c r="M6" i="4" l="1"/>
  <c r="N47" i="1"/>
  <c r="N5" i="6"/>
  <c r="N6" i="6" s="1"/>
  <c r="N45" i="1"/>
  <c r="N57" i="1"/>
  <c r="N61" i="1"/>
  <c r="N65" i="1"/>
  <c r="N69" i="1"/>
  <c r="N48" i="1"/>
  <c r="N52" i="1"/>
  <c r="N56" i="1"/>
  <c r="N60" i="1"/>
  <c r="N64" i="1"/>
  <c r="N68" i="1"/>
  <c r="N46" i="1"/>
  <c r="N55" i="1"/>
  <c r="N63" i="1"/>
  <c r="N50" i="1"/>
  <c r="N54" i="1"/>
  <c r="N58" i="1"/>
  <c r="N62" i="1"/>
  <c r="N66" i="1"/>
  <c r="N51" i="1"/>
  <c r="N59" i="1"/>
  <c r="N67" i="1"/>
  <c r="N49" i="1"/>
  <c r="N53" i="1"/>
  <c r="N90" i="1" l="1"/>
  <c r="C2" i="1" l="1"/>
  <c r="D2" i="1" s="1"/>
  <c r="E2" i="1" s="1"/>
  <c r="H2" i="1" s="1"/>
  <c r="I2" i="1" l="1"/>
  <c r="J2" i="1" s="1"/>
  <c r="K2" i="1" s="1"/>
  <c r="N2" i="1" s="1"/>
  <c r="O2" i="1" s="1"/>
  <c r="P2" i="1" s="1"/>
  <c r="Q2" i="1" s="1"/>
  <c r="T2" i="1" s="1"/>
  <c r="U2" i="1" s="1"/>
  <c r="V2" i="1" s="1"/>
  <c r="W2" i="1" s="1"/>
  <c r="X2" i="1" s="1"/>
  <c r="B16" i="1" s="1"/>
  <c r="C16" i="1" s="1"/>
  <c r="D16" i="1" s="1"/>
  <c r="E16" i="1" s="1"/>
  <c r="H16" i="1" s="1"/>
  <c r="I16" i="1" s="1"/>
  <c r="J16" i="1" s="1"/>
  <c r="K16" i="1" s="1"/>
  <c r="N16" i="1" s="1"/>
  <c r="O16" i="1" s="1"/>
  <c r="P16" i="1" s="1"/>
  <c r="Q16" i="1" s="1"/>
  <c r="R16" i="1" s="1"/>
  <c r="T16" i="1" s="1"/>
  <c r="U16" i="1" s="1"/>
  <c r="V16" i="1" s="1"/>
  <c r="W16" i="1" s="1"/>
  <c r="B30" i="1" s="1"/>
  <c r="C30" i="1" s="1"/>
  <c r="D30" i="1" s="1"/>
  <c r="E30" i="1" s="1"/>
  <c r="F30" i="1" s="1"/>
  <c r="H30" i="1" s="1"/>
  <c r="I30" i="1" s="1"/>
  <c r="J30" i="1" s="1"/>
  <c r="K30" i="1" s="1"/>
  <c r="O30" i="1" s="1"/>
  <c r="P30" i="1" s="1"/>
  <c r="F90" i="1"/>
  <c r="E90" i="1"/>
  <c r="D90" i="1"/>
  <c r="H82" i="1"/>
  <c r="H81" i="1"/>
  <c r="H79" i="1"/>
  <c r="H78" i="1"/>
  <c r="H76" i="1"/>
  <c r="H75" i="1"/>
  <c r="H74" i="1"/>
  <c r="H73" i="1"/>
  <c r="H72" i="1"/>
  <c r="H71" i="1"/>
  <c r="H70" i="1"/>
  <c r="H69" i="1"/>
  <c r="H67" i="1"/>
  <c r="H65" i="1"/>
  <c r="H64" i="1"/>
  <c r="H63" i="1"/>
  <c r="H62" i="1"/>
  <c r="H61" i="1"/>
  <c r="H60" i="1"/>
  <c r="H59" i="1"/>
  <c r="H58" i="1"/>
  <c r="H57" i="1"/>
  <c r="H56" i="1"/>
  <c r="H54" i="1"/>
  <c r="H68" i="1"/>
  <c r="H66" i="1"/>
  <c r="H53" i="1"/>
  <c r="H77" i="1"/>
  <c r="H52" i="1"/>
  <c r="H51" i="1"/>
  <c r="H50" i="1"/>
  <c r="H49" i="1"/>
  <c r="H55" i="1"/>
  <c r="H48" i="1"/>
  <c r="H47" i="1"/>
  <c r="H46" i="1"/>
  <c r="H45" i="1"/>
  <c r="H90" i="1" l="1"/>
  <c r="Q30" i="1"/>
  <c r="T30" i="1" s="1"/>
  <c r="H91" i="1" l="1"/>
  <c r="H92" i="1" s="1"/>
  <c r="U30" i="1"/>
  <c r="V30" i="1" s="1"/>
  <c r="W30" i="1" s="1"/>
  <c r="X3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tc={551D797C-35D0-D041-8EB8-DE2137DDA1B3}</author>
    <author>tc={6BDF7A79-D466-5948-8278-EBCA09565E19}</author>
  </authors>
  <commentList>
    <comment ref="N30" authorId="0" shapeId="0" xr:uid="{551D797C-35D0-D041-8EB8-DE2137DDA1B3}">
      <text>
        <t>[Threaded comment]
Your version of Excel allows you to read this threaded comment; however, any edits to it will get removed if the file is opened in a newer version of Excel. Learn more: https://go.microsoft.com/fwlink/?linkid=870924
Comment:
    Mel Cup Week - dispatch WEDNESDAY</t>
      </text>
    </comment>
    <comment ref="O53" authorId="1" shapeId="0" xr:uid="{6BDF7A79-D466-5948-8278-EBCA09565E19}">
      <text>
        <t>[Threaded comment]
Your version of Excel allows you to read this threaded comment; however, any edits to it will get removed if the file is opened in a newer version of Excel. Learn more: https://go.microsoft.com/fwlink/?linkid=870924
Comment:
    10 Antennas plus 2 Security = 6 each</t>
      </text>
    </comment>
  </commentList>
</comments>
</file>

<file path=xl/sharedStrings.xml><?xml version="1.0" encoding="utf-8"?>
<sst xmlns="http://schemas.openxmlformats.org/spreadsheetml/2006/main" count="696" uniqueCount="114">
  <si>
    <t>January</t>
  </si>
  <si>
    <t>Blogs</t>
  </si>
  <si>
    <t>Buttons</t>
  </si>
  <si>
    <t>February</t>
  </si>
  <si>
    <t>March</t>
  </si>
  <si>
    <t>April</t>
  </si>
  <si>
    <t>Dog Wash</t>
  </si>
  <si>
    <t>Mowing</t>
  </si>
  <si>
    <t>Cleaning</t>
  </si>
  <si>
    <t>Antennas</t>
  </si>
  <si>
    <t>May</t>
  </si>
  <si>
    <t>June</t>
  </si>
  <si>
    <t>July</t>
  </si>
  <si>
    <t>August</t>
  </si>
  <si>
    <t>September</t>
  </si>
  <si>
    <t>October</t>
  </si>
  <si>
    <t>November</t>
  </si>
  <si>
    <t>December</t>
  </si>
  <si>
    <t>Test &amp; Tag</t>
  </si>
  <si>
    <t>Car Detailing</t>
  </si>
  <si>
    <t>Building Inspections</t>
  </si>
  <si>
    <t>Carpet Cleaning</t>
  </si>
  <si>
    <t>Fencing</t>
  </si>
  <si>
    <t>Pool Care</t>
  </si>
  <si>
    <t>Skip Bins</t>
  </si>
  <si>
    <t>Bookkeeping</t>
  </si>
  <si>
    <t>Diggers</t>
  </si>
  <si>
    <t>Energy</t>
  </si>
  <si>
    <t>Handyman</t>
  </si>
  <si>
    <t>IT</t>
  </si>
  <si>
    <t>Laundry Services</t>
  </si>
  <si>
    <t>Termite &amp; Pest Control</t>
  </si>
  <si>
    <t>Tree &amp; Stump Removal</t>
  </si>
  <si>
    <t>Window &amp; Pressure Cleaning</t>
  </si>
  <si>
    <t>Bin Cleaning</t>
  </si>
  <si>
    <t>Blind Cleaning &amp; Repairs</t>
  </si>
  <si>
    <t>Conveyancing</t>
  </si>
  <si>
    <t>Electrical</t>
  </si>
  <si>
    <t>Financial Services</t>
  </si>
  <si>
    <t>Jumping Castles &amp; Party Hire</t>
  </si>
  <si>
    <t>Mobile Mechanics</t>
  </si>
  <si>
    <t>Mobile Tyres</t>
  </si>
  <si>
    <t>Painting</t>
  </si>
  <si>
    <t>Plumbing</t>
  </si>
  <si>
    <t>Scratch &amp; Dent</t>
  </si>
  <si>
    <t>Security</t>
  </si>
  <si>
    <t>Total</t>
  </si>
  <si>
    <t>Sep -Dec</t>
  </si>
  <si>
    <t>Jan - Apr</t>
  </si>
  <si>
    <t>May - Aug</t>
  </si>
  <si>
    <t>Building Insp</t>
  </si>
  <si>
    <t>Carpet C</t>
  </si>
  <si>
    <t>Window Pres</t>
  </si>
  <si>
    <t>Blind C</t>
  </si>
  <si>
    <t>Hazmat</t>
  </si>
  <si>
    <t>Laundry</t>
  </si>
  <si>
    <t>Pest Control</t>
  </si>
  <si>
    <t>Trees</t>
  </si>
  <si>
    <t>Financial</t>
  </si>
  <si>
    <t>Castles</t>
  </si>
  <si>
    <t>Mechanics</t>
  </si>
  <si>
    <t>Tyres</t>
  </si>
  <si>
    <t>Scratch &amp; D</t>
  </si>
  <si>
    <t>Blog Allocation</t>
  </si>
  <si>
    <t>Blog Features</t>
  </si>
  <si>
    <t>Cleaning - Jan to Apr</t>
  </si>
  <si>
    <t>Cleaning - May to Aug</t>
  </si>
  <si>
    <t>Cleaning - Sep to Dec</t>
  </si>
  <si>
    <t>Cleaning Group</t>
  </si>
  <si>
    <t>Mowing - Jan to Apr</t>
  </si>
  <si>
    <t>Mowing - May to Aug</t>
  </si>
  <si>
    <t>Mowing - Sep to Dec</t>
  </si>
  <si>
    <t>Roofing</t>
  </si>
  <si>
    <t>Bathrooms</t>
  </si>
  <si>
    <t>PAY PLAN</t>
  </si>
  <si>
    <t>Beauty</t>
  </si>
  <si>
    <t>Legal</t>
  </si>
  <si>
    <t>See separate tab - Mowing</t>
  </si>
  <si>
    <t>See separate tab - Cleaning</t>
  </si>
  <si>
    <t>Count</t>
  </si>
  <si>
    <t>Dispatch Dates - Content due 2 weeks prior</t>
  </si>
  <si>
    <t>Unallocated</t>
  </si>
  <si>
    <t>Jim - Xmas</t>
  </si>
  <si>
    <t>COMMENTS:  Allocation is based  on division size as per Head Office.  However, some balancing out is done to allow all divisions to have 2 features annually.  Unallocated spaces are kept for flexibility as the year unfolds.  Email jenni@elementalsolutions.com.au if you have any questions.</t>
  </si>
  <si>
    <t>Jim's Group Australia - Client Campaign 2024 calendar</t>
  </si>
  <si>
    <t>Email jenni@elementalsolutions.com.au if you have any questions.</t>
  </si>
  <si>
    <t>At the bottom of each campaign, there are 6 division buttons, linked to the division home page.  These are also allocated based on division size and scheduled accordingly.</t>
  </si>
  <si>
    <t xml:space="preserve">Content is due 2 weeks prior to the published dispatch date. If content is not received by the due date, the feature will be forfeited and allocated to another division.  </t>
  </si>
  <si>
    <t>The Jim's Group AUSTRALIA client campaign is sent weekly featuring 4 divisions per campaign.  Each feature has a landscape image, a brief introduction and a link to the division blog page.  Features are to be of value to the Jim's Group subscriber (not salesy).</t>
  </si>
  <si>
    <t>Stats from the campaign will be uploaded onto the FSO website &gt; Communications &gt; Campaigns one week after dispatch.</t>
  </si>
  <si>
    <t>Garage Doors</t>
  </si>
  <si>
    <t>ross@jimsroofing.com.au</t>
  </si>
  <si>
    <t>Life Coaching</t>
  </si>
  <si>
    <t>Massage</t>
  </si>
  <si>
    <t>Driving School</t>
  </si>
  <si>
    <t>Healthcare</t>
  </si>
  <si>
    <t>Carconnect</t>
  </si>
  <si>
    <t>CarConnect</t>
  </si>
  <si>
    <t>Removals</t>
  </si>
  <si>
    <t>Blinds &amp; Shutters</t>
  </si>
  <si>
    <t>Hazardous Material Removal</t>
  </si>
  <si>
    <t>Bathrooms &amp; Resurfacing</t>
  </si>
  <si>
    <t>Glass</t>
  </si>
  <si>
    <t>Construction</t>
  </si>
  <si>
    <t>Remedial Massage</t>
  </si>
  <si>
    <t>Shutters</t>
  </si>
  <si>
    <t>Division</t>
  </si>
  <si>
    <t>Abbrev.</t>
  </si>
  <si>
    <t>Payplan</t>
  </si>
  <si>
    <t>Target</t>
  </si>
  <si>
    <t>Allocated</t>
  </si>
  <si>
    <t>1/MONTH</t>
  </si>
  <si>
    <t>Allocation is based  on division size as per Head Office.  However, some balancing out is done.  Unallocated spaces are kept for flexibility as the year unfolds.   See By Division 2025 tab to easily find your division dates.</t>
  </si>
  <si>
    <t>Campaign is covered by the Branding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</si>
</sst>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2"/>
      <color theme="1"/>
      <name val="Calibri"/>
      <family val="2"/>
      <scheme val="minor"/>
    </font>
    <font>
      <b/>
      <sz val="12"/>
      <color theme="1"/>
      <name val="Calibri"/>
      <family val="2"/>
      <scheme val="minor"/>
    </font>
    <font>
      <sz val="12"/>
      <color rgb="FF006100"/>
      <name val="Calibri"/>
      <family val="2"/>
      <scheme val="minor"/>
    </font>
    <font>
      <sz val="11"/>
      <color theme="1"/>
      <name val="Arial"/>
      <family val="2"/>
    </font>
    <font>
      <u/>
      <sz val="12"/>
      <color theme="10"/>
      <name val="Calibri"/>
      <family val="2"/>
      <scheme val="minor"/>
    </font>
    <font>
      <sz val="12"/>
      <color rgb="FF222222"/>
      <name val="Arial"/>
      <family val="2"/>
    </font>
    <font>
      <sz val="12"/>
      <name val="Calibri"/>
      <family val="2"/>
      <scheme val="minor"/>
    </font>
    <font>
      <sz val="8"/>
      <name val="Calibri"/>
      <family val="2"/>
      <scheme val="minor"/>
    </font>
    <font>
      <sz val="10"/>
      <color rgb="FF000000"/>
      <name val="Tahoma"/>
      <family val="2"/>
    </font>
  </fonts>
  <fills count="11">
    <fill>
      <patternFill patternType="none"/>
    </fill>
    <fill>
      <patternFill patternType="gray125"/>
    </fill>
    <fill>
      <patternFill patternType="solid">
        <fgColor rgb="FF00B0F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C000"/>
        <bgColor indexed="64"/>
      </patternFill>
    </fill>
    <fill>
      <patternFill patternType="solid">
        <fgColor rgb="FFC6EFCE"/>
        <bgColor rgb="FF000000"/>
      </patternFill>
    </fill>
    <fill>
      <patternFill patternType="solid">
        <fgColor theme="1" tint="0.499984740745262"/>
        <bgColor indexed="64"/>
      </patternFill>
    </fill>
    <fill>
      <patternFill patternType="solid">
        <fgColor theme="9" tint="0.59999389629810485"/>
        <bgColor indexed="64"/>
      </patternFill>
    </fill>
  </fills>
  <borders count="11">
    <border>
      <left/>
      <right/>
      <top/>
      <bottom/>
      <diagonal/>
    </border>
    <border>
      <left style="thin">
        <color rgb="FFD3D3D3"/>
      </left>
      <right style="medium">
        <color rgb="FFD3D3D3"/>
      </right>
      <top style="thin">
        <color rgb="FFD3D3D3"/>
      </top>
      <bottom style="thin">
        <color rgb="FFD3D3D3"/>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95">
    <xf numFmtId="0" fontId="0" fillId="0" borderId="0" xfId="0"/>
    <xf numFmtId="16" fontId="0" fillId="0" borderId="0" xfId="0" applyNumberFormat="1"/>
    <xf numFmtId="0" fontId="2" fillId="0" borderId="0" xfId="0" applyFont="1"/>
    <xf numFmtId="0" fontId="2" fillId="0" borderId="0" xfId="0" applyFont="1" applyAlignment="1">
      <alignment horizontal="center"/>
    </xf>
    <xf numFmtId="0" fontId="2" fillId="5" borderId="0" xfId="0" applyFont="1" applyFill="1"/>
    <xf numFmtId="0" fontId="0" fillId="5" borderId="0" xfId="0" applyFill="1"/>
    <xf numFmtId="0" fontId="2" fillId="6" borderId="0" xfId="0" applyFont="1" applyFill="1"/>
    <xf numFmtId="0" fontId="0" fillId="6" borderId="0" xfId="0" applyFill="1"/>
    <xf numFmtId="0" fontId="3" fillId="8" borderId="0" xfId="0" applyFont="1" applyFill="1"/>
    <xf numFmtId="0" fontId="2" fillId="0" borderId="0" xfId="0" applyFont="1" applyAlignment="1">
      <alignment wrapText="1"/>
    </xf>
    <xf numFmtId="14" fontId="0" fillId="0" borderId="0" xfId="0" applyNumberFormat="1"/>
    <xf numFmtId="0" fontId="3" fillId="0" borderId="0" xfId="0" applyFont="1"/>
    <xf numFmtId="0" fontId="4" fillId="0" borderId="1" xfId="0" applyFont="1" applyBorder="1" applyAlignment="1">
      <alignment wrapText="1"/>
    </xf>
    <xf numFmtId="0" fontId="6" fillId="0" borderId="0" xfId="0" applyFont="1"/>
    <xf numFmtId="0" fontId="5" fillId="0" borderId="0" xfId="1"/>
    <xf numFmtId="0" fontId="0" fillId="0" borderId="2" xfId="0" applyBorder="1"/>
    <xf numFmtId="16" fontId="2" fillId="0" borderId="6" xfId="0" applyNumberFormat="1" applyFont="1" applyBorder="1" applyAlignment="1">
      <alignment horizontal="center"/>
    </xf>
    <xf numFmtId="16" fontId="2" fillId="0" borderId="7" xfId="0" applyNumberFormat="1" applyFont="1" applyBorder="1" applyAlignment="1">
      <alignment horizontal="center"/>
    </xf>
    <xf numFmtId="0" fontId="0" fillId="2" borderId="6" xfId="0" applyFill="1" applyBorder="1"/>
    <xf numFmtId="0" fontId="0" fillId="2" borderId="7" xfId="0" applyFill="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16" fontId="0" fillId="0" borderId="6" xfId="0" applyNumberFormat="1" applyBorder="1"/>
    <xf numFmtId="16" fontId="0" fillId="0" borderId="7" xfId="0" applyNumberFormat="1" applyBorder="1"/>
    <xf numFmtId="0" fontId="0" fillId="0" borderId="6"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2" fillId="3" borderId="0" xfId="0" applyFont="1" applyFill="1" applyAlignment="1">
      <alignment vertical="center" textRotation="90"/>
    </xf>
    <xf numFmtId="0" fontId="2" fillId="0" borderId="0" xfId="0" applyFont="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0" xfId="0" applyAlignment="1">
      <alignment horizontal="left" wrapText="1"/>
    </xf>
    <xf numFmtId="0" fontId="0" fillId="0" borderId="7" xfId="0" applyBorder="1" applyAlignment="1">
      <alignment horizontal="left"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6"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0" xfId="0" applyAlignment="1">
      <alignment horizontal="left"/>
    </xf>
    <xf numFmtId="0" fontId="2" fillId="2" borderId="0" xfId="0" applyFont="1" applyFill="1" applyAlignment="1">
      <alignment vertical="center" textRotation="90"/>
    </xf>
    <xf numFmtId="0" fontId="2" fillId="3" borderId="0" xfId="0" applyFont="1" applyFill="1" applyAlignment="1">
      <alignment vertical="center" textRotation="90"/>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5" borderId="3" xfId="0" applyFont="1" applyFill="1" applyBorder="1" applyAlignment="1">
      <alignment horizontal="center"/>
    </xf>
    <xf numFmtId="0" fontId="2" fillId="5" borderId="4" xfId="0" applyFont="1" applyFill="1" applyBorder="1" applyAlignment="1">
      <alignment horizontal="center"/>
    </xf>
    <xf numFmtId="0" fontId="2" fillId="5" borderId="5" xfId="0" applyFont="1" applyFill="1" applyBorder="1" applyAlignment="1">
      <alignment horizont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center" vertical="center"/>
    </xf>
    <xf numFmtId="0" fontId="1" fillId="0" borderId="0" xfId="0" applyFont="1"/>
    <xf numFmtId="0" fontId="2" fillId="2" borderId="0" xfId="0" applyFont="1" applyFill="1" applyAlignment="1">
      <alignment horizontal="center" vertical="center" textRotation="90"/>
    </xf>
    <xf numFmtId="0" fontId="2" fillId="0" borderId="0" xfId="0" applyFont="1" applyFill="1" applyAlignment="1">
      <alignment vertical="center" textRotation="90"/>
    </xf>
    <xf numFmtId="0" fontId="2" fillId="0" borderId="0" xfId="0" applyFont="1" applyAlignment="1"/>
    <xf numFmtId="0" fontId="0" fillId="0" borderId="0" xfId="0" applyBorder="1"/>
    <xf numFmtId="0" fontId="0" fillId="0" borderId="0" xfId="0" applyFill="1" applyBorder="1"/>
    <xf numFmtId="0" fontId="0" fillId="0" borderId="0" xfId="0" applyFill="1"/>
    <xf numFmtId="0" fontId="1" fillId="0" borderId="0" xfId="0" applyFont="1" applyFill="1"/>
    <xf numFmtId="0" fontId="0" fillId="0" borderId="6" xfId="0" applyFill="1" applyBorder="1"/>
    <xf numFmtId="0" fontId="0" fillId="0" borderId="9" xfId="0" applyFill="1" applyBorder="1"/>
    <xf numFmtId="0" fontId="0" fillId="0" borderId="7" xfId="0" applyFill="1" applyBorder="1"/>
    <xf numFmtId="0" fontId="2" fillId="0" borderId="5" xfId="0" applyFont="1" applyFill="1" applyBorder="1" applyAlignment="1"/>
    <xf numFmtId="16" fontId="0" fillId="0" borderId="0" xfId="0" applyNumberFormat="1" applyBorder="1"/>
    <xf numFmtId="0" fontId="0" fillId="2" borderId="0" xfId="0" applyFill="1" applyBorder="1"/>
    <xf numFmtId="0" fontId="7" fillId="2" borderId="0" xfId="0" applyFont="1" applyFill="1" applyBorder="1"/>
    <xf numFmtId="0" fontId="2" fillId="0" borderId="0" xfId="0" applyFont="1" applyFill="1" applyBorder="1" applyAlignment="1"/>
    <xf numFmtId="0" fontId="0" fillId="7" borderId="0" xfId="0" applyFill="1" applyBorder="1"/>
    <xf numFmtId="16" fontId="2" fillId="0" borderId="0" xfId="0" applyNumberFormat="1" applyFont="1" applyBorder="1" applyAlignment="1">
      <alignment horizontal="center"/>
    </xf>
    <xf numFmtId="0" fontId="0" fillId="0" borderId="10" xfId="0" applyFill="1" applyBorder="1"/>
    <xf numFmtId="0" fontId="0" fillId="4" borderId="0" xfId="0" applyFill="1" applyBorder="1"/>
    <xf numFmtId="0" fontId="0" fillId="9" borderId="7" xfId="0" applyFill="1" applyBorder="1"/>
    <xf numFmtId="0" fontId="0" fillId="9" borderId="10" xfId="0" applyFill="1" applyBorder="1"/>
    <xf numFmtId="0" fontId="0" fillId="0" borderId="6" xfId="0" applyBorder="1" applyAlignment="1">
      <alignment horizontal="left"/>
    </xf>
    <xf numFmtId="0" fontId="0" fillId="0" borderId="7" xfId="0" applyBorder="1" applyAlignment="1">
      <alignment horizontal="left"/>
    </xf>
    <xf numFmtId="16" fontId="0" fillId="0" borderId="0" xfId="0" applyNumberFormat="1" applyFont="1" applyBorder="1" applyAlignment="1">
      <alignment horizontal="right"/>
    </xf>
    <xf numFmtId="16" fontId="0" fillId="0" borderId="0" xfId="0" applyNumberFormat="1" applyAlignment="1">
      <alignment horizontal="right"/>
    </xf>
    <xf numFmtId="0" fontId="0" fillId="0" borderId="0" xfId="0" applyFont="1" applyFill="1" applyBorder="1" applyAlignment="1">
      <alignment vertical="center"/>
    </xf>
    <xf numFmtId="0" fontId="0" fillId="0" borderId="8" xfId="0" applyFill="1" applyBorder="1"/>
    <xf numFmtId="16" fontId="2" fillId="0" borderId="6" xfId="0" applyNumberFormat="1" applyFont="1" applyBorder="1"/>
    <xf numFmtId="0" fontId="0" fillId="10" borderId="2" xfId="0" applyFill="1" applyBorder="1"/>
    <xf numFmtId="0" fontId="0" fillId="10" borderId="0" xfId="0" applyFill="1"/>
    <xf numFmtId="0" fontId="1" fillId="10" borderId="0" xfId="0" applyFont="1" applyFill="1"/>
    <xf numFmtId="0" fontId="3" fillId="10" borderId="0" xfId="0" applyFont="1" applyFill="1"/>
    <xf numFmtId="0" fontId="3" fillId="0" borderId="0" xfId="0" applyFont="1" applyFill="1"/>
  </cellXfs>
  <cellStyles count="2">
    <cellStyle name="Hyperlink" xfId="1" builtinId="8"/>
    <cellStyle name="Normal" xfId="0" builtinId="0"/>
  </cellStyles>
  <dxfs count="17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Jenni Tham" id="{0A711E0C-1CD4-254C-A91F-796610F8528D}" userId="d5e12168b270aeef" providerId="Windows Live"/>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30" dT="2024-11-27T02:36:20.07" personId="{0A711E0C-1CD4-254C-A91F-796610F8528D}" id="{551D797C-35D0-D041-8EB8-DE2137DDA1B3}">
    <text>Mel Cup Week - dispatch WEDNESDAY</text>
  </threadedComment>
  <threadedComment ref="O53" dT="2024-11-27T23:18:11.81" personId="{0A711E0C-1CD4-254C-A91F-796610F8528D}" id="{6BDF7A79-D466-5948-8278-EBCA09565E19}">
    <text>10 Antennas plus 2 Security = 6 each</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hyperlink" Target="mailto:ross@jimsroofing.com.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91DA9-5D3A-0240-A903-D583192603AC}">
  <dimension ref="B2:I21"/>
  <sheetViews>
    <sheetView workbookViewId="0">
      <selection activeCell="B6" sqref="B6:I6"/>
    </sheetView>
  </sheetViews>
  <sheetFormatPr baseColWidth="10" defaultRowHeight="16" x14ac:dyDescent="0.2"/>
  <cols>
    <col min="1" max="1" width="6.83203125" customWidth="1"/>
  </cols>
  <sheetData>
    <row r="2" spans="2:9" ht="17" thickBot="1" x14ac:dyDescent="0.25">
      <c r="B2" s="31" t="s">
        <v>84</v>
      </c>
      <c r="C2" s="31"/>
      <c r="D2" s="31"/>
      <c r="E2" s="31"/>
      <c r="F2" s="31"/>
      <c r="G2" s="31"/>
      <c r="H2" s="31"/>
      <c r="I2" s="31"/>
    </row>
    <row r="3" spans="2:9" ht="16" customHeight="1" x14ac:dyDescent="0.2">
      <c r="B3" s="32" t="s">
        <v>88</v>
      </c>
      <c r="C3" s="33"/>
      <c r="D3" s="33"/>
      <c r="E3" s="33"/>
      <c r="F3" s="33"/>
      <c r="G3" s="33"/>
      <c r="H3" s="33"/>
      <c r="I3" s="34"/>
    </row>
    <row r="4" spans="2:9" x14ac:dyDescent="0.2">
      <c r="B4" s="35"/>
      <c r="C4" s="36"/>
      <c r="D4" s="36"/>
      <c r="E4" s="36"/>
      <c r="F4" s="36"/>
      <c r="G4" s="36"/>
      <c r="H4" s="36"/>
      <c r="I4" s="37"/>
    </row>
    <row r="5" spans="2:9" x14ac:dyDescent="0.2">
      <c r="B5" s="35"/>
      <c r="C5" s="36"/>
      <c r="D5" s="36"/>
      <c r="E5" s="36"/>
      <c r="F5" s="36"/>
      <c r="G5" s="36"/>
      <c r="H5" s="36"/>
      <c r="I5" s="37"/>
    </row>
    <row r="6" spans="2:9" x14ac:dyDescent="0.2">
      <c r="B6" s="83" t="s">
        <v>113</v>
      </c>
      <c r="C6" s="47"/>
      <c r="D6" s="47"/>
      <c r="E6" s="47"/>
      <c r="F6" s="47"/>
      <c r="G6" s="47"/>
      <c r="H6" s="47"/>
      <c r="I6" s="84"/>
    </row>
    <row r="7" spans="2:9" x14ac:dyDescent="0.2">
      <c r="B7" s="38" t="s">
        <v>112</v>
      </c>
      <c r="C7" s="39"/>
      <c r="D7" s="39"/>
      <c r="E7" s="39"/>
      <c r="F7" s="39"/>
      <c r="G7" s="39"/>
      <c r="H7" s="39"/>
      <c r="I7" s="40"/>
    </row>
    <row r="8" spans="2:9" x14ac:dyDescent="0.2">
      <c r="B8" s="38"/>
      <c r="C8" s="39"/>
      <c r="D8" s="39"/>
      <c r="E8" s="39"/>
      <c r="F8" s="39"/>
      <c r="G8" s="39"/>
      <c r="H8" s="39"/>
      <c r="I8" s="40"/>
    </row>
    <row r="9" spans="2:9" x14ac:dyDescent="0.2">
      <c r="B9" s="38"/>
      <c r="C9" s="39"/>
      <c r="D9" s="39"/>
      <c r="E9" s="39"/>
      <c r="F9" s="39"/>
      <c r="G9" s="39"/>
      <c r="H9" s="39"/>
      <c r="I9" s="40"/>
    </row>
    <row r="10" spans="2:9" x14ac:dyDescent="0.2">
      <c r="B10" s="27"/>
      <c r="C10" s="28"/>
      <c r="D10" s="28"/>
      <c r="E10" s="28"/>
      <c r="F10" s="28"/>
      <c r="G10" s="28"/>
      <c r="H10" s="28"/>
      <c r="I10" s="29"/>
    </row>
    <row r="11" spans="2:9" x14ac:dyDescent="0.2">
      <c r="B11" s="38" t="s">
        <v>87</v>
      </c>
      <c r="C11" s="39"/>
      <c r="D11" s="39"/>
      <c r="E11" s="39"/>
      <c r="F11" s="39"/>
      <c r="G11" s="39"/>
      <c r="H11" s="39"/>
      <c r="I11" s="40"/>
    </row>
    <row r="12" spans="2:9" x14ac:dyDescent="0.2">
      <c r="B12" s="38"/>
      <c r="C12" s="39"/>
      <c r="D12" s="39"/>
      <c r="E12" s="39"/>
      <c r="F12" s="39"/>
      <c r="G12" s="39"/>
      <c r="H12" s="39"/>
      <c r="I12" s="40"/>
    </row>
    <row r="13" spans="2:9" x14ac:dyDescent="0.2">
      <c r="B13" s="44"/>
      <c r="C13" s="45"/>
      <c r="D13" s="45"/>
      <c r="E13" s="45"/>
      <c r="F13" s="45"/>
      <c r="G13" s="45"/>
      <c r="H13" s="45"/>
      <c r="I13" s="46"/>
    </row>
    <row r="14" spans="2:9" ht="18" customHeight="1" x14ac:dyDescent="0.2">
      <c r="B14" s="38" t="s">
        <v>86</v>
      </c>
      <c r="C14" s="39"/>
      <c r="D14" s="39"/>
      <c r="E14" s="39"/>
      <c r="F14" s="39"/>
      <c r="G14" s="39"/>
      <c r="H14" s="39"/>
      <c r="I14" s="40"/>
    </row>
    <row r="15" spans="2:9" ht="16" customHeight="1" x14ac:dyDescent="0.2">
      <c r="B15" s="38"/>
      <c r="C15" s="39"/>
      <c r="D15" s="39"/>
      <c r="E15" s="39"/>
      <c r="F15" s="39"/>
      <c r="G15" s="39"/>
      <c r="H15" s="39"/>
      <c r="I15" s="40"/>
    </row>
    <row r="16" spans="2:9" x14ac:dyDescent="0.2">
      <c r="B16" s="44"/>
      <c r="C16" s="45"/>
      <c r="D16" s="45"/>
      <c r="E16" s="45"/>
      <c r="F16" s="45"/>
      <c r="G16" s="45"/>
      <c r="H16" s="45"/>
      <c r="I16" s="46"/>
    </row>
    <row r="17" spans="2:9" ht="16" customHeight="1" x14ac:dyDescent="0.2">
      <c r="B17" s="38" t="s">
        <v>89</v>
      </c>
      <c r="C17" s="39"/>
      <c r="D17" s="39"/>
      <c r="E17" s="39"/>
      <c r="F17" s="39"/>
      <c r="G17" s="39"/>
      <c r="H17" s="39"/>
      <c r="I17" s="40"/>
    </row>
    <row r="18" spans="2:9" x14ac:dyDescent="0.2">
      <c r="B18" s="38"/>
      <c r="C18" s="39"/>
      <c r="D18" s="39"/>
      <c r="E18" s="39"/>
      <c r="F18" s="39"/>
      <c r="G18" s="39"/>
      <c r="H18" s="39"/>
      <c r="I18" s="40"/>
    </row>
    <row r="19" spans="2:9" x14ac:dyDescent="0.2">
      <c r="B19" s="44"/>
      <c r="C19" s="45"/>
      <c r="D19" s="45"/>
      <c r="E19" s="45"/>
      <c r="F19" s="45"/>
      <c r="G19" s="45"/>
      <c r="H19" s="45"/>
      <c r="I19" s="46"/>
    </row>
    <row r="20" spans="2:9" x14ac:dyDescent="0.2">
      <c r="B20" s="44"/>
      <c r="C20" s="45"/>
      <c r="D20" s="45"/>
      <c r="E20" s="45"/>
      <c r="F20" s="45"/>
      <c r="G20" s="45"/>
      <c r="H20" s="45"/>
      <c r="I20" s="46"/>
    </row>
    <row r="21" spans="2:9" ht="17" thickBot="1" x14ac:dyDescent="0.25">
      <c r="B21" s="41" t="s">
        <v>85</v>
      </c>
      <c r="C21" s="42"/>
      <c r="D21" s="42"/>
      <c r="E21" s="42"/>
      <c r="F21" s="42"/>
      <c r="G21" s="42"/>
      <c r="H21" s="42"/>
      <c r="I21" s="43"/>
    </row>
  </sheetData>
  <mergeCells count="11">
    <mergeCell ref="B2:I2"/>
    <mergeCell ref="B3:I5"/>
    <mergeCell ref="B7:I9"/>
    <mergeCell ref="B14:I15"/>
    <mergeCell ref="B21:I21"/>
    <mergeCell ref="B11:I12"/>
    <mergeCell ref="B17:I18"/>
    <mergeCell ref="B6:I6"/>
    <mergeCell ref="B13:I13"/>
    <mergeCell ref="B16:I16"/>
    <mergeCell ref="B19:I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732F6-D3BB-504E-ADFA-642264444CAD}">
  <dimension ref="A1:X92"/>
  <sheetViews>
    <sheetView zoomScale="97" zoomScaleNormal="98" workbookViewId="0">
      <selection activeCell="P88" sqref="P88"/>
    </sheetView>
  </sheetViews>
  <sheetFormatPr baseColWidth="10" defaultRowHeight="16" outlineLevelRow="1" x14ac:dyDescent="0.2"/>
  <cols>
    <col min="1" max="1" width="3.6640625" bestFit="1" customWidth="1"/>
    <col min="2" max="6" width="11.83203125" customWidth="1"/>
    <col min="7" max="7" width="3.5" customWidth="1"/>
    <col min="8" max="12" width="11.83203125" customWidth="1"/>
    <col min="13" max="13" width="3.33203125" customWidth="1"/>
    <col min="14" max="18" width="11.83203125" customWidth="1"/>
    <col min="19" max="19" width="3" customWidth="1"/>
    <col min="20" max="24" width="11.83203125" customWidth="1"/>
    <col min="25" max="25" width="1.5" customWidth="1"/>
  </cols>
  <sheetData>
    <row r="1" spans="1:24" x14ac:dyDescent="0.2">
      <c r="B1" s="50" t="s">
        <v>0</v>
      </c>
      <c r="C1" s="51"/>
      <c r="D1" s="51"/>
      <c r="E1" s="52"/>
      <c r="F1" s="72"/>
      <c r="G1" s="3"/>
      <c r="H1" s="53" t="s">
        <v>3</v>
      </c>
      <c r="I1" s="54"/>
      <c r="J1" s="54"/>
      <c r="K1" s="55"/>
      <c r="L1" s="3"/>
      <c r="N1" s="56" t="s">
        <v>4</v>
      </c>
      <c r="O1" s="57"/>
      <c r="P1" s="57"/>
      <c r="Q1" s="58"/>
      <c r="R1" s="87"/>
      <c r="T1" s="53" t="s">
        <v>5</v>
      </c>
      <c r="U1" s="54"/>
      <c r="V1" s="54"/>
      <c r="W1" s="54"/>
      <c r="X1" s="55"/>
    </row>
    <row r="2" spans="1:24" s="2" customFormat="1" x14ac:dyDescent="0.2">
      <c r="B2" s="16">
        <v>45664</v>
      </c>
      <c r="C2" s="78">
        <f>B2+7</f>
        <v>45671</v>
      </c>
      <c r="D2" s="78">
        <f t="shared" ref="D2:E2" si="0">C2+7</f>
        <v>45678</v>
      </c>
      <c r="E2" s="17">
        <f t="shared" si="0"/>
        <v>45685</v>
      </c>
      <c r="H2" s="16">
        <f>E2+7</f>
        <v>45692</v>
      </c>
      <c r="I2" s="78">
        <f>H2+7</f>
        <v>45699</v>
      </c>
      <c r="J2" s="78">
        <f>I2+7</f>
        <v>45706</v>
      </c>
      <c r="K2" s="17">
        <f t="shared" ref="K2" si="1">J2+7</f>
        <v>45713</v>
      </c>
      <c r="N2" s="16">
        <f>K2+7</f>
        <v>45720</v>
      </c>
      <c r="O2" s="78">
        <f>N2+7</f>
        <v>45727</v>
      </c>
      <c r="P2" s="78">
        <f>O2+7</f>
        <v>45734</v>
      </c>
      <c r="Q2" s="17">
        <f t="shared" ref="Q2:R2" si="2">P2+7</f>
        <v>45741</v>
      </c>
      <c r="T2" s="16">
        <f>Q2+7</f>
        <v>45748</v>
      </c>
      <c r="U2" s="78">
        <f>T2+7</f>
        <v>45755</v>
      </c>
      <c r="V2" s="78">
        <f>U2+7</f>
        <v>45762</v>
      </c>
      <c r="W2" s="78">
        <f t="shared" ref="W2" si="3">V2+7</f>
        <v>45769</v>
      </c>
      <c r="X2" s="17">
        <f>W2+7</f>
        <v>45776</v>
      </c>
    </row>
    <row r="3" spans="1:24" x14ac:dyDescent="0.2">
      <c r="A3" s="48" t="s">
        <v>1</v>
      </c>
      <c r="B3" s="18" t="s">
        <v>7</v>
      </c>
      <c r="C3" s="74" t="s">
        <v>9</v>
      </c>
      <c r="D3" s="74" t="s">
        <v>7</v>
      </c>
      <c r="E3" s="19" t="s">
        <v>7</v>
      </c>
      <c r="G3" s="48" t="s">
        <v>1</v>
      </c>
      <c r="H3" s="18" t="s">
        <v>8</v>
      </c>
      <c r="I3" s="74" t="s">
        <v>7</v>
      </c>
      <c r="J3" s="74" t="s">
        <v>8</v>
      </c>
      <c r="K3" s="19" t="s">
        <v>7</v>
      </c>
      <c r="M3" s="48" t="s">
        <v>1</v>
      </c>
      <c r="N3" s="18" t="s">
        <v>8</v>
      </c>
      <c r="O3" s="74" t="s">
        <v>7</v>
      </c>
      <c r="P3" s="74" t="s">
        <v>8</v>
      </c>
      <c r="Q3" s="19" t="s">
        <v>7</v>
      </c>
      <c r="S3" s="48" t="s">
        <v>1</v>
      </c>
      <c r="T3" s="18" t="s">
        <v>8</v>
      </c>
      <c r="U3" s="74" t="s">
        <v>7</v>
      </c>
      <c r="V3" s="74" t="s">
        <v>8</v>
      </c>
      <c r="W3" s="74" t="s">
        <v>7</v>
      </c>
      <c r="X3" s="19" t="s">
        <v>8</v>
      </c>
    </row>
    <row r="4" spans="1:24" x14ac:dyDescent="0.2">
      <c r="A4" s="48"/>
      <c r="B4" s="18" t="s">
        <v>8</v>
      </c>
      <c r="C4" s="74" t="s">
        <v>19</v>
      </c>
      <c r="D4" s="74" t="s">
        <v>8</v>
      </c>
      <c r="E4" s="19" t="s">
        <v>28</v>
      </c>
      <c r="G4" s="48"/>
      <c r="H4" s="18" t="s">
        <v>22</v>
      </c>
      <c r="I4" s="74" t="s">
        <v>6</v>
      </c>
      <c r="J4" s="74" t="s">
        <v>18</v>
      </c>
      <c r="K4" s="19" t="s">
        <v>51</v>
      </c>
      <c r="M4" s="48"/>
      <c r="N4" s="18" t="s">
        <v>25</v>
      </c>
      <c r="O4" s="74" t="s">
        <v>6</v>
      </c>
      <c r="P4" s="74" t="s">
        <v>22</v>
      </c>
      <c r="Q4" s="19" t="s">
        <v>19</v>
      </c>
      <c r="S4" s="48"/>
      <c r="T4" s="18" t="s">
        <v>45</v>
      </c>
      <c r="U4" s="74" t="s">
        <v>6</v>
      </c>
      <c r="V4" s="74" t="s">
        <v>50</v>
      </c>
      <c r="W4" s="74" t="s">
        <v>53</v>
      </c>
      <c r="X4" s="19" t="s">
        <v>18</v>
      </c>
    </row>
    <row r="5" spans="1:24" x14ac:dyDescent="0.2">
      <c r="A5" s="48"/>
      <c r="B5" s="18" t="s">
        <v>6</v>
      </c>
      <c r="C5" s="74" t="s">
        <v>37</v>
      </c>
      <c r="D5" s="74" t="s">
        <v>98</v>
      </c>
      <c r="E5" s="19" t="s">
        <v>52</v>
      </c>
      <c r="G5" s="48"/>
      <c r="H5" s="18" t="s">
        <v>55</v>
      </c>
      <c r="I5" s="74" t="s">
        <v>23</v>
      </c>
      <c r="J5" s="74" t="s">
        <v>28</v>
      </c>
      <c r="K5" s="19" t="s">
        <v>27</v>
      </c>
      <c r="M5" s="48"/>
      <c r="N5" s="18" t="s">
        <v>29</v>
      </c>
      <c r="O5" s="74" t="s">
        <v>73</v>
      </c>
      <c r="P5" s="74" t="s">
        <v>24</v>
      </c>
      <c r="Q5" s="19" t="s">
        <v>18</v>
      </c>
      <c r="S5" s="48"/>
      <c r="T5" s="18" t="s">
        <v>103</v>
      </c>
      <c r="U5" s="74" t="s">
        <v>56</v>
      </c>
      <c r="V5" s="74" t="s">
        <v>90</v>
      </c>
      <c r="W5" s="74" t="s">
        <v>36</v>
      </c>
      <c r="X5" s="19" t="s">
        <v>25</v>
      </c>
    </row>
    <row r="6" spans="1:24" x14ac:dyDescent="0.2">
      <c r="A6" s="48"/>
      <c r="B6" s="18" t="s">
        <v>23</v>
      </c>
      <c r="C6" s="74" t="s">
        <v>59</v>
      </c>
      <c r="D6" s="74" t="s">
        <v>23</v>
      </c>
      <c r="E6" s="19" t="s">
        <v>58</v>
      </c>
      <c r="G6" s="48"/>
      <c r="H6" s="18" t="s">
        <v>50</v>
      </c>
      <c r="I6" s="74" t="s">
        <v>45</v>
      </c>
      <c r="J6" s="74" t="s">
        <v>56</v>
      </c>
      <c r="K6" s="19" t="s">
        <v>34</v>
      </c>
      <c r="M6" s="48"/>
      <c r="N6" s="18" t="s">
        <v>62</v>
      </c>
      <c r="O6" s="74" t="s">
        <v>51</v>
      </c>
      <c r="P6" s="74" t="s">
        <v>26</v>
      </c>
      <c r="Q6" s="19" t="s">
        <v>105</v>
      </c>
      <c r="S6" s="48"/>
      <c r="T6" s="18" t="s">
        <v>55</v>
      </c>
      <c r="U6" s="74" t="s">
        <v>42</v>
      </c>
      <c r="V6" s="74" t="s">
        <v>43</v>
      </c>
      <c r="W6" s="74" t="s">
        <v>75</v>
      </c>
      <c r="X6" s="19" t="s">
        <v>72</v>
      </c>
    </row>
    <row r="7" spans="1:24" ht="7" customHeight="1" x14ac:dyDescent="0.2">
      <c r="A7" s="2"/>
      <c r="B7" s="20"/>
      <c r="C7" s="65"/>
      <c r="D7" s="65"/>
      <c r="E7" s="21"/>
      <c r="H7" s="20"/>
      <c r="I7" s="65"/>
      <c r="J7" s="65"/>
      <c r="K7" s="21"/>
      <c r="N7" s="20"/>
      <c r="O7" s="65"/>
      <c r="P7" s="65"/>
      <c r="Q7" s="21"/>
      <c r="T7" s="20"/>
      <c r="U7" s="65"/>
      <c r="V7" s="65"/>
      <c r="W7" s="65"/>
      <c r="X7" s="21"/>
    </row>
    <row r="8" spans="1:24" outlineLevel="1" x14ac:dyDescent="0.2">
      <c r="A8" s="49" t="s">
        <v>2</v>
      </c>
      <c r="B8" s="20" t="s">
        <v>7</v>
      </c>
      <c r="C8" s="65" t="s">
        <v>7</v>
      </c>
      <c r="D8" s="65" t="s">
        <v>7</v>
      </c>
      <c r="E8" s="21" t="s">
        <v>8</v>
      </c>
      <c r="G8" s="49" t="s">
        <v>2</v>
      </c>
      <c r="H8" s="20" t="s">
        <v>7</v>
      </c>
      <c r="I8" s="65" t="s">
        <v>7</v>
      </c>
      <c r="J8" s="65" t="s">
        <v>7</v>
      </c>
      <c r="K8" s="21" t="s">
        <v>7</v>
      </c>
      <c r="M8" s="49" t="s">
        <v>2</v>
      </c>
      <c r="N8" s="20" t="s">
        <v>7</v>
      </c>
      <c r="O8" s="65" t="s">
        <v>7</v>
      </c>
      <c r="P8" s="65" t="s">
        <v>7</v>
      </c>
      <c r="Q8" s="21" t="s">
        <v>7</v>
      </c>
      <c r="S8" s="49" t="s">
        <v>2</v>
      </c>
      <c r="T8" s="20" t="s">
        <v>7</v>
      </c>
      <c r="U8" s="65" t="s">
        <v>7</v>
      </c>
      <c r="V8" s="65" t="s">
        <v>7</v>
      </c>
      <c r="W8" s="65" t="s">
        <v>7</v>
      </c>
      <c r="X8" s="21" t="s">
        <v>7</v>
      </c>
    </row>
    <row r="9" spans="1:24" outlineLevel="1" x14ac:dyDescent="0.2">
      <c r="A9" s="49"/>
      <c r="B9" s="20" t="s">
        <v>8</v>
      </c>
      <c r="C9" s="65" t="s">
        <v>8</v>
      </c>
      <c r="D9" s="65" t="s">
        <v>8</v>
      </c>
      <c r="E9" s="21" t="s">
        <v>18</v>
      </c>
      <c r="G9" s="49"/>
      <c r="H9" s="20" t="s">
        <v>8</v>
      </c>
      <c r="I9" s="65" t="s">
        <v>8</v>
      </c>
      <c r="J9" s="65" t="s">
        <v>8</v>
      </c>
      <c r="K9" s="21" t="s">
        <v>8</v>
      </c>
      <c r="M9" s="49"/>
      <c r="N9" s="20" t="s">
        <v>8</v>
      </c>
      <c r="O9" s="65" t="s">
        <v>8</v>
      </c>
      <c r="P9" s="65" t="s">
        <v>8</v>
      </c>
      <c r="Q9" s="21" t="s">
        <v>8</v>
      </c>
      <c r="S9" s="49"/>
      <c r="T9" s="20" t="s">
        <v>8</v>
      </c>
      <c r="U9" s="65" t="s">
        <v>8</v>
      </c>
      <c r="V9" s="65" t="s">
        <v>8</v>
      </c>
      <c r="W9" s="65" t="s">
        <v>8</v>
      </c>
      <c r="X9" s="21" t="s">
        <v>8</v>
      </c>
    </row>
    <row r="10" spans="1:24" outlineLevel="1" x14ac:dyDescent="0.2">
      <c r="A10" s="49"/>
      <c r="B10" s="20" t="s">
        <v>18</v>
      </c>
      <c r="C10" s="65" t="s">
        <v>50</v>
      </c>
      <c r="D10" s="65" t="s">
        <v>6</v>
      </c>
      <c r="E10" s="21" t="s">
        <v>19</v>
      </c>
      <c r="G10" s="49"/>
      <c r="H10" s="20" t="s">
        <v>28</v>
      </c>
      <c r="I10" s="65" t="s">
        <v>18</v>
      </c>
      <c r="J10" s="65" t="s">
        <v>19</v>
      </c>
      <c r="K10" s="21" t="s">
        <v>6</v>
      </c>
      <c r="M10" s="49"/>
      <c r="N10" s="20" t="s">
        <v>18</v>
      </c>
      <c r="O10" s="65" t="s">
        <v>18</v>
      </c>
      <c r="P10" s="65" t="s">
        <v>50</v>
      </c>
      <c r="Q10" s="21" t="s">
        <v>6</v>
      </c>
      <c r="S10" s="49"/>
      <c r="T10" s="20" t="s">
        <v>22</v>
      </c>
      <c r="U10" s="65" t="s">
        <v>45</v>
      </c>
      <c r="V10" s="65" t="s">
        <v>19</v>
      </c>
      <c r="W10" s="65" t="s">
        <v>6</v>
      </c>
      <c r="X10" s="21" t="s">
        <v>9</v>
      </c>
    </row>
    <row r="11" spans="1:24" outlineLevel="1" x14ac:dyDescent="0.2">
      <c r="A11" s="49"/>
      <c r="B11" s="69" t="s">
        <v>55</v>
      </c>
      <c r="C11" s="66" t="s">
        <v>90</v>
      </c>
      <c r="D11" s="65" t="s">
        <v>51</v>
      </c>
      <c r="E11" s="21" t="s">
        <v>45</v>
      </c>
      <c r="G11" s="49"/>
      <c r="H11" s="20" t="s">
        <v>53</v>
      </c>
      <c r="I11" s="65" t="s">
        <v>9</v>
      </c>
      <c r="J11" s="66" t="s">
        <v>103</v>
      </c>
      <c r="K11" s="21" t="s">
        <v>50</v>
      </c>
      <c r="M11" s="49"/>
      <c r="N11" s="20" t="s">
        <v>22</v>
      </c>
      <c r="O11" s="65" t="s">
        <v>19</v>
      </c>
      <c r="P11" s="65" t="s">
        <v>28</v>
      </c>
      <c r="Q11" s="21" t="s">
        <v>51</v>
      </c>
      <c r="S11" s="49"/>
      <c r="T11" s="20" t="s">
        <v>23</v>
      </c>
      <c r="U11" s="66" t="s">
        <v>18</v>
      </c>
      <c r="V11" s="65" t="s">
        <v>76</v>
      </c>
      <c r="W11" s="65" t="s">
        <v>51</v>
      </c>
      <c r="X11" s="21" t="s">
        <v>50</v>
      </c>
    </row>
    <row r="12" spans="1:24" outlineLevel="1" x14ac:dyDescent="0.2">
      <c r="A12" s="49"/>
      <c r="B12" s="20" t="s">
        <v>105</v>
      </c>
      <c r="C12" s="65" t="s">
        <v>54</v>
      </c>
      <c r="D12" s="66" t="s">
        <v>102</v>
      </c>
      <c r="E12" s="21" t="s">
        <v>23</v>
      </c>
      <c r="G12" s="49"/>
      <c r="H12" s="20" t="s">
        <v>60</v>
      </c>
      <c r="I12" s="65" t="s">
        <v>29</v>
      </c>
      <c r="J12" s="65" t="s">
        <v>26</v>
      </c>
      <c r="K12" s="71" t="s">
        <v>92</v>
      </c>
      <c r="M12" s="49"/>
      <c r="N12" s="20" t="s">
        <v>23</v>
      </c>
      <c r="O12" s="65" t="s">
        <v>9</v>
      </c>
      <c r="P12" s="65" t="s">
        <v>52</v>
      </c>
      <c r="Q12" s="21" t="s">
        <v>56</v>
      </c>
      <c r="S12" s="49"/>
      <c r="T12" s="20" t="s">
        <v>50</v>
      </c>
      <c r="U12" s="65" t="s">
        <v>27</v>
      </c>
      <c r="V12" s="65" t="s">
        <v>24</v>
      </c>
      <c r="W12" s="65" t="s">
        <v>56</v>
      </c>
      <c r="X12" s="21" t="s">
        <v>18</v>
      </c>
    </row>
    <row r="13" spans="1:24" ht="17" outlineLevel="1" thickBot="1" x14ac:dyDescent="0.25">
      <c r="A13" s="49"/>
      <c r="B13" s="22" t="s">
        <v>75</v>
      </c>
      <c r="C13" s="23" t="s">
        <v>98</v>
      </c>
      <c r="D13" s="23" t="s">
        <v>74</v>
      </c>
      <c r="E13" s="24" t="s">
        <v>61</v>
      </c>
      <c r="G13" s="49"/>
      <c r="H13" s="22" t="s">
        <v>72</v>
      </c>
      <c r="I13" s="23" t="s">
        <v>74</v>
      </c>
      <c r="J13" s="23" t="s">
        <v>43</v>
      </c>
      <c r="K13" s="79" t="s">
        <v>55</v>
      </c>
      <c r="M13" s="49"/>
      <c r="N13" s="22" t="s">
        <v>55</v>
      </c>
      <c r="O13" s="23" t="s">
        <v>74</v>
      </c>
      <c r="P13" s="23" t="s">
        <v>6</v>
      </c>
      <c r="Q13" s="24" t="s">
        <v>73</v>
      </c>
      <c r="S13" s="49"/>
      <c r="T13" s="22" t="s">
        <v>19</v>
      </c>
      <c r="U13" s="23" t="s">
        <v>73</v>
      </c>
      <c r="V13" s="23" t="s">
        <v>37</v>
      </c>
      <c r="W13" s="23" t="s">
        <v>52</v>
      </c>
      <c r="X13" s="24" t="s">
        <v>74</v>
      </c>
    </row>
    <row r="14" spans="1:24" ht="17" thickBot="1" x14ac:dyDescent="0.25"/>
    <row r="15" spans="1:24" x14ac:dyDescent="0.2">
      <c r="B15" s="50" t="s">
        <v>10</v>
      </c>
      <c r="C15" s="51"/>
      <c r="D15" s="51"/>
      <c r="E15" s="52"/>
      <c r="F15" s="2"/>
      <c r="G15" s="3"/>
      <c r="H15" s="53" t="s">
        <v>11</v>
      </c>
      <c r="I15" s="54"/>
      <c r="J15" s="54"/>
      <c r="K15" s="55"/>
      <c r="L15" s="76"/>
      <c r="N15" s="50" t="s">
        <v>12</v>
      </c>
      <c r="O15" s="51"/>
      <c r="P15" s="51"/>
      <c r="Q15" s="51"/>
      <c r="R15" s="52"/>
      <c r="T15" s="53" t="s">
        <v>13</v>
      </c>
      <c r="U15" s="54"/>
      <c r="V15" s="54"/>
      <c r="W15" s="55"/>
      <c r="X15" s="2"/>
    </row>
    <row r="16" spans="1:24" x14ac:dyDescent="0.2">
      <c r="B16" s="89">
        <f>X2+7</f>
        <v>45783</v>
      </c>
      <c r="C16" s="73">
        <f>B16+7</f>
        <v>45790</v>
      </c>
      <c r="D16" s="73">
        <f t="shared" ref="D16:E16" si="4">C16+7</f>
        <v>45797</v>
      </c>
      <c r="E16" s="26">
        <f t="shared" si="4"/>
        <v>45804</v>
      </c>
      <c r="G16" s="1"/>
      <c r="H16" s="25">
        <f>E16+7</f>
        <v>45811</v>
      </c>
      <c r="I16" s="73">
        <f>H16+7</f>
        <v>45818</v>
      </c>
      <c r="J16" s="73">
        <f>I16+7</f>
        <v>45825</v>
      </c>
      <c r="K16" s="26">
        <f t="shared" ref="K16:L16" si="5">J16+7</f>
        <v>45832</v>
      </c>
      <c r="N16" s="25">
        <f>K16+7</f>
        <v>45839</v>
      </c>
      <c r="O16" s="73">
        <f>N16+7</f>
        <v>45846</v>
      </c>
      <c r="P16" s="73">
        <f>O16+7</f>
        <v>45853</v>
      </c>
      <c r="Q16" s="73">
        <f t="shared" ref="Q16:R16" si="6">P16+7</f>
        <v>45860</v>
      </c>
      <c r="R16" s="26">
        <f t="shared" si="6"/>
        <v>45867</v>
      </c>
      <c r="T16" s="25">
        <f>R16+7</f>
        <v>45874</v>
      </c>
      <c r="U16" s="73">
        <f>T16+7</f>
        <v>45881</v>
      </c>
      <c r="V16" s="73">
        <f t="shared" ref="V16:X16" si="7">U16+7</f>
        <v>45888</v>
      </c>
      <c r="W16" s="26">
        <f t="shared" si="7"/>
        <v>45895</v>
      </c>
    </row>
    <row r="17" spans="1:24" x14ac:dyDescent="0.2">
      <c r="A17" s="48" t="s">
        <v>1</v>
      </c>
      <c r="B17" s="18" t="s">
        <v>7</v>
      </c>
      <c r="C17" s="74" t="s">
        <v>8</v>
      </c>
      <c r="D17" s="74" t="s">
        <v>7</v>
      </c>
      <c r="E17" s="19" t="s">
        <v>8</v>
      </c>
      <c r="G17" s="48" t="s">
        <v>1</v>
      </c>
      <c r="H17" s="18" t="s">
        <v>51</v>
      </c>
      <c r="I17" s="74" t="s">
        <v>7</v>
      </c>
      <c r="J17" s="74" t="s">
        <v>8</v>
      </c>
      <c r="K17" s="19" t="s">
        <v>7</v>
      </c>
      <c r="M17" s="48" t="s">
        <v>1</v>
      </c>
      <c r="N17" s="18" t="s">
        <v>8</v>
      </c>
      <c r="O17" s="74" t="s">
        <v>7</v>
      </c>
      <c r="P17" s="74" t="s">
        <v>8</v>
      </c>
      <c r="Q17" s="74" t="s">
        <v>7</v>
      </c>
      <c r="R17" s="19" t="s">
        <v>8</v>
      </c>
      <c r="S17" s="48" t="s">
        <v>1</v>
      </c>
      <c r="T17" s="18" t="s">
        <v>7</v>
      </c>
      <c r="U17" s="74" t="s">
        <v>8</v>
      </c>
      <c r="V17" s="74" t="s">
        <v>7</v>
      </c>
      <c r="W17" s="19" t="s">
        <v>8</v>
      </c>
    </row>
    <row r="18" spans="1:24" x14ac:dyDescent="0.2">
      <c r="A18" s="48"/>
      <c r="B18" s="18" t="s">
        <v>6</v>
      </c>
      <c r="C18" s="74" t="s">
        <v>42</v>
      </c>
      <c r="D18" s="74" t="s">
        <v>22</v>
      </c>
      <c r="E18" s="19" t="s">
        <v>18</v>
      </c>
      <c r="G18" s="48"/>
      <c r="H18" s="18" t="s">
        <v>25</v>
      </c>
      <c r="I18" s="74" t="s">
        <v>6</v>
      </c>
      <c r="J18" s="74" t="s">
        <v>50</v>
      </c>
      <c r="K18" s="19" t="s">
        <v>19</v>
      </c>
      <c r="M18" s="48"/>
      <c r="N18" s="18" t="s">
        <v>55</v>
      </c>
      <c r="O18" s="74" t="s">
        <v>6</v>
      </c>
      <c r="P18" s="74" t="s">
        <v>24</v>
      </c>
      <c r="Q18" s="74" t="s">
        <v>37</v>
      </c>
      <c r="R18" s="19" t="s">
        <v>22</v>
      </c>
      <c r="S18" s="48"/>
      <c r="T18" s="18" t="s">
        <v>6</v>
      </c>
      <c r="U18" s="74" t="s">
        <v>50</v>
      </c>
      <c r="V18" s="74" t="s">
        <v>53</v>
      </c>
      <c r="W18" s="19" t="s">
        <v>18</v>
      </c>
    </row>
    <row r="19" spans="1:24" x14ac:dyDescent="0.2">
      <c r="A19" s="48"/>
      <c r="B19" s="18" t="s">
        <v>52</v>
      </c>
      <c r="C19" s="74" t="s">
        <v>27</v>
      </c>
      <c r="D19" s="74" t="s">
        <v>19</v>
      </c>
      <c r="E19" s="19" t="s">
        <v>54</v>
      </c>
      <c r="G19" s="48"/>
      <c r="H19" s="18" t="s">
        <v>60</v>
      </c>
      <c r="I19" s="74" t="s">
        <v>9</v>
      </c>
      <c r="J19" s="74" t="s">
        <v>57</v>
      </c>
      <c r="K19" s="19" t="s">
        <v>18</v>
      </c>
      <c r="M19" s="48"/>
      <c r="N19" s="18" t="s">
        <v>28</v>
      </c>
      <c r="O19" s="74" t="s">
        <v>73</v>
      </c>
      <c r="P19" s="74" t="s">
        <v>90</v>
      </c>
      <c r="Q19" s="74" t="s">
        <v>18</v>
      </c>
      <c r="R19" s="19" t="s">
        <v>72</v>
      </c>
      <c r="S19" s="48"/>
      <c r="T19" s="18" t="s">
        <v>52</v>
      </c>
      <c r="U19" s="74" t="s">
        <v>56</v>
      </c>
      <c r="V19" s="74" t="s">
        <v>19</v>
      </c>
      <c r="W19" s="19" t="s">
        <v>43</v>
      </c>
    </row>
    <row r="20" spans="1:24" x14ac:dyDescent="0.2">
      <c r="A20" s="48"/>
      <c r="B20" s="18" t="s">
        <v>76</v>
      </c>
      <c r="C20" s="74" t="s">
        <v>56</v>
      </c>
      <c r="D20" s="74" t="s">
        <v>29</v>
      </c>
      <c r="E20" s="19" t="s">
        <v>61</v>
      </c>
      <c r="G20" s="48"/>
      <c r="H20" s="18" t="s">
        <v>92</v>
      </c>
      <c r="I20" s="74" t="s">
        <v>93</v>
      </c>
      <c r="J20" s="74" t="s">
        <v>102</v>
      </c>
      <c r="K20" s="19" t="s">
        <v>45</v>
      </c>
      <c r="M20" s="48"/>
      <c r="N20" s="18" t="s">
        <v>26</v>
      </c>
      <c r="O20" s="74" t="s">
        <v>58</v>
      </c>
      <c r="P20" s="74" t="s">
        <v>50</v>
      </c>
      <c r="Q20" s="74" t="s">
        <v>75</v>
      </c>
      <c r="R20" s="19" t="s">
        <v>19</v>
      </c>
      <c r="S20" s="48"/>
      <c r="T20" s="18" t="s">
        <v>57</v>
      </c>
      <c r="U20" s="74" t="s">
        <v>55</v>
      </c>
      <c r="V20" s="75" t="s">
        <v>23</v>
      </c>
      <c r="W20" s="19" t="s">
        <v>62</v>
      </c>
    </row>
    <row r="21" spans="1:24" ht="7" customHeight="1" x14ac:dyDescent="0.2">
      <c r="A21" s="2"/>
      <c r="B21" s="20"/>
      <c r="C21" s="65"/>
      <c r="D21" s="65"/>
      <c r="E21" s="21"/>
      <c r="H21" s="20"/>
      <c r="I21" s="65"/>
      <c r="J21" s="65"/>
      <c r="K21" s="21"/>
      <c r="N21" s="20"/>
      <c r="O21" s="65"/>
      <c r="P21" s="65"/>
      <c r="Q21" s="65"/>
      <c r="R21" s="21"/>
      <c r="T21" s="20"/>
      <c r="U21" s="65"/>
      <c r="V21" s="65"/>
      <c r="W21" s="21"/>
    </row>
    <row r="22" spans="1:24" x14ac:dyDescent="0.2">
      <c r="A22" s="49" t="s">
        <v>2</v>
      </c>
      <c r="B22" s="20" t="s">
        <v>7</v>
      </c>
      <c r="C22" s="65" t="s">
        <v>7</v>
      </c>
      <c r="D22" s="65" t="s">
        <v>7</v>
      </c>
      <c r="E22" s="21" t="s">
        <v>7</v>
      </c>
      <c r="G22" s="49" t="s">
        <v>2</v>
      </c>
      <c r="H22" s="20" t="s">
        <v>7</v>
      </c>
      <c r="I22" s="65" t="s">
        <v>7</v>
      </c>
      <c r="J22" s="65" t="s">
        <v>7</v>
      </c>
      <c r="K22" s="21" t="s">
        <v>7</v>
      </c>
      <c r="M22" s="49" t="s">
        <v>2</v>
      </c>
      <c r="N22" s="20" t="s">
        <v>7</v>
      </c>
      <c r="O22" s="65" t="s">
        <v>7</v>
      </c>
      <c r="P22" s="65" t="s">
        <v>7</v>
      </c>
      <c r="Q22" s="65" t="s">
        <v>7</v>
      </c>
      <c r="R22" s="21" t="s">
        <v>7</v>
      </c>
      <c r="S22" s="49" t="s">
        <v>2</v>
      </c>
      <c r="T22" s="20" t="s">
        <v>7</v>
      </c>
      <c r="U22" s="65" t="s">
        <v>7</v>
      </c>
      <c r="V22" s="65" t="s">
        <v>7</v>
      </c>
      <c r="W22" s="21" t="s">
        <v>7</v>
      </c>
    </row>
    <row r="23" spans="1:24" x14ac:dyDescent="0.2">
      <c r="A23" s="49"/>
      <c r="B23" s="20" t="s">
        <v>8</v>
      </c>
      <c r="C23" s="65" t="s">
        <v>8</v>
      </c>
      <c r="D23" s="65" t="s">
        <v>8</v>
      </c>
      <c r="E23" s="21" t="s">
        <v>8</v>
      </c>
      <c r="G23" s="49"/>
      <c r="H23" s="20" t="s">
        <v>8</v>
      </c>
      <c r="I23" s="65" t="s">
        <v>8</v>
      </c>
      <c r="J23" s="65" t="s">
        <v>8</v>
      </c>
      <c r="K23" s="21" t="s">
        <v>8</v>
      </c>
      <c r="M23" s="49"/>
      <c r="N23" s="20" t="s">
        <v>8</v>
      </c>
      <c r="O23" s="65" t="s">
        <v>8</v>
      </c>
      <c r="P23" s="65" t="s">
        <v>8</v>
      </c>
      <c r="Q23" s="65" t="s">
        <v>8</v>
      </c>
      <c r="R23" s="21" t="s">
        <v>8</v>
      </c>
      <c r="S23" s="49"/>
      <c r="T23" s="20" t="s">
        <v>8</v>
      </c>
      <c r="U23" s="65" t="s">
        <v>8</v>
      </c>
      <c r="V23" s="65" t="s">
        <v>8</v>
      </c>
      <c r="W23" s="21" t="s">
        <v>8</v>
      </c>
    </row>
    <row r="24" spans="1:24" x14ac:dyDescent="0.2">
      <c r="A24" s="49"/>
      <c r="B24" s="20" t="s">
        <v>19</v>
      </c>
      <c r="C24" s="65" t="s">
        <v>6</v>
      </c>
      <c r="D24" s="65" t="s">
        <v>50</v>
      </c>
      <c r="E24" s="21" t="s">
        <v>19</v>
      </c>
      <c r="G24" s="49"/>
      <c r="H24" s="20" t="s">
        <v>18</v>
      </c>
      <c r="I24" s="65" t="s">
        <v>18</v>
      </c>
      <c r="J24" s="65" t="s">
        <v>22</v>
      </c>
      <c r="K24" s="21" t="s">
        <v>6</v>
      </c>
      <c r="M24" s="49"/>
      <c r="N24" s="20" t="s">
        <v>50</v>
      </c>
      <c r="O24" s="65" t="s">
        <v>18</v>
      </c>
      <c r="P24" s="65" t="s">
        <v>19</v>
      </c>
      <c r="Q24" s="65" t="s">
        <v>9</v>
      </c>
      <c r="R24" s="21" t="s">
        <v>6</v>
      </c>
      <c r="S24" s="49"/>
      <c r="T24" s="20" t="s">
        <v>18</v>
      </c>
      <c r="U24" s="66" t="s">
        <v>45</v>
      </c>
      <c r="V24" s="65" t="s">
        <v>50</v>
      </c>
      <c r="W24" s="21" t="s">
        <v>6</v>
      </c>
    </row>
    <row r="25" spans="1:24" x14ac:dyDescent="0.2">
      <c r="A25" s="49"/>
      <c r="B25" s="69" t="s">
        <v>96</v>
      </c>
      <c r="C25" s="65" t="s">
        <v>18</v>
      </c>
      <c r="D25" s="65" t="s">
        <v>51</v>
      </c>
      <c r="E25" s="21" t="s">
        <v>23</v>
      </c>
      <c r="G25" s="49"/>
      <c r="H25" s="20" t="s">
        <v>27</v>
      </c>
      <c r="I25" s="66" t="s">
        <v>95</v>
      </c>
      <c r="J25" s="77"/>
      <c r="K25" s="21" t="s">
        <v>51</v>
      </c>
      <c r="M25" s="49"/>
      <c r="N25" s="20" t="s">
        <v>23</v>
      </c>
      <c r="O25" s="65" t="s">
        <v>22</v>
      </c>
      <c r="P25" s="65" t="s">
        <v>50</v>
      </c>
      <c r="Q25" s="65" t="s">
        <v>51</v>
      </c>
      <c r="R25" s="21" t="s">
        <v>23</v>
      </c>
      <c r="S25" s="49"/>
      <c r="T25" s="20" t="s">
        <v>19</v>
      </c>
      <c r="U25" s="65" t="s">
        <v>28</v>
      </c>
      <c r="V25" s="65" t="s">
        <v>23</v>
      </c>
      <c r="W25" s="71" t="s">
        <v>103</v>
      </c>
    </row>
    <row r="26" spans="1:24" x14ac:dyDescent="0.2">
      <c r="A26" s="49"/>
      <c r="B26" s="20" t="s">
        <v>56</v>
      </c>
      <c r="C26" s="66" t="s">
        <v>105</v>
      </c>
      <c r="D26" s="65" t="s">
        <v>55</v>
      </c>
      <c r="E26" s="21" t="s">
        <v>34</v>
      </c>
      <c r="G26" s="49"/>
      <c r="H26" s="20" t="s">
        <v>59</v>
      </c>
      <c r="I26" s="65" t="s">
        <v>19</v>
      </c>
      <c r="J26" s="65" t="s">
        <v>45</v>
      </c>
      <c r="K26" s="21" t="s">
        <v>28</v>
      </c>
      <c r="M26" s="49"/>
      <c r="N26" s="20" t="s">
        <v>19</v>
      </c>
      <c r="O26" s="77"/>
      <c r="P26" s="65" t="s">
        <v>6</v>
      </c>
      <c r="Q26" s="65" t="s">
        <v>52</v>
      </c>
      <c r="R26" s="21" t="s">
        <v>25</v>
      </c>
      <c r="S26" s="49"/>
      <c r="T26" s="20" t="s">
        <v>58</v>
      </c>
      <c r="U26" s="65" t="s">
        <v>36</v>
      </c>
      <c r="V26" s="65" t="s">
        <v>57</v>
      </c>
      <c r="W26" s="71" t="s">
        <v>25</v>
      </c>
    </row>
    <row r="27" spans="1:24" ht="17" thickBot="1" x14ac:dyDescent="0.25">
      <c r="A27" s="49"/>
      <c r="B27" s="22" t="s">
        <v>72</v>
      </c>
      <c r="C27" s="23" t="s">
        <v>23</v>
      </c>
      <c r="D27" s="70" t="s">
        <v>94</v>
      </c>
      <c r="E27" s="24" t="s">
        <v>74</v>
      </c>
      <c r="G27" s="49"/>
      <c r="H27" s="22" t="s">
        <v>93</v>
      </c>
      <c r="I27" s="23" t="s">
        <v>52</v>
      </c>
      <c r="J27" s="23" t="s">
        <v>74</v>
      </c>
      <c r="K27" s="24" t="s">
        <v>62</v>
      </c>
      <c r="M27" s="49"/>
      <c r="N27" s="22" t="s">
        <v>29</v>
      </c>
      <c r="O27" s="23" t="s">
        <v>56</v>
      </c>
      <c r="P27" s="23" t="s">
        <v>92</v>
      </c>
      <c r="Q27" s="23" t="s">
        <v>74</v>
      </c>
      <c r="R27" s="24" t="s">
        <v>19</v>
      </c>
      <c r="S27" s="49"/>
      <c r="T27" s="22" t="s">
        <v>76</v>
      </c>
      <c r="U27" s="23" t="s">
        <v>6</v>
      </c>
      <c r="V27" s="23" t="s">
        <v>74</v>
      </c>
      <c r="W27" s="24" t="s">
        <v>43</v>
      </c>
    </row>
    <row r="28" spans="1:24" ht="17" thickBot="1" x14ac:dyDescent="0.25"/>
    <row r="29" spans="1:24" x14ac:dyDescent="0.2">
      <c r="B29" s="50" t="s">
        <v>14</v>
      </c>
      <c r="C29" s="51"/>
      <c r="D29" s="51"/>
      <c r="E29" s="51"/>
      <c r="F29" s="52"/>
      <c r="G29" s="3"/>
      <c r="H29" s="53" t="s">
        <v>15</v>
      </c>
      <c r="I29" s="54"/>
      <c r="J29" s="54"/>
      <c r="K29" s="55"/>
      <c r="L29" s="76"/>
      <c r="M29" s="2"/>
      <c r="N29" s="50" t="s">
        <v>16</v>
      </c>
      <c r="O29" s="51"/>
      <c r="P29" s="51"/>
      <c r="Q29" s="52"/>
      <c r="R29" s="3"/>
      <c r="T29" s="53" t="s">
        <v>17</v>
      </c>
      <c r="U29" s="54"/>
      <c r="V29" s="54"/>
      <c r="W29" s="54"/>
      <c r="X29" s="55"/>
    </row>
    <row r="30" spans="1:24" ht="16" customHeight="1" x14ac:dyDescent="0.2">
      <c r="B30" s="25">
        <f>W16+7</f>
        <v>45902</v>
      </c>
      <c r="C30" s="73">
        <f>B30+7</f>
        <v>45909</v>
      </c>
      <c r="D30" s="73">
        <f>C30+7</f>
        <v>45916</v>
      </c>
      <c r="E30" s="73">
        <f t="shared" ref="E30:F30" si="8">D30+7</f>
        <v>45923</v>
      </c>
      <c r="F30" s="26">
        <f t="shared" si="8"/>
        <v>45930</v>
      </c>
      <c r="G30" s="1"/>
      <c r="H30" s="25">
        <f>F30+7</f>
        <v>45937</v>
      </c>
      <c r="I30" s="73">
        <f>H30+7</f>
        <v>45944</v>
      </c>
      <c r="J30" s="73">
        <f t="shared" ref="J30:K30" si="9">I30+7</f>
        <v>45951</v>
      </c>
      <c r="K30" s="26">
        <f t="shared" si="9"/>
        <v>45958</v>
      </c>
      <c r="M30" s="1"/>
      <c r="N30" s="25">
        <v>45966</v>
      </c>
      <c r="O30" s="73">
        <f>K30+14</f>
        <v>45972</v>
      </c>
      <c r="P30" s="73">
        <f>O30+7</f>
        <v>45979</v>
      </c>
      <c r="Q30" s="26">
        <f t="shared" ref="Q30" si="10">P30+7</f>
        <v>45986</v>
      </c>
      <c r="S30" s="63"/>
      <c r="T30" s="25">
        <f>Q30+7</f>
        <v>45993</v>
      </c>
      <c r="U30" s="73">
        <f>T30+7</f>
        <v>46000</v>
      </c>
      <c r="V30" s="73">
        <f t="shared" ref="V30:X30" si="11">U30+7</f>
        <v>46007</v>
      </c>
      <c r="W30" s="73">
        <f t="shared" si="11"/>
        <v>46014</v>
      </c>
      <c r="X30" s="26">
        <f t="shared" si="11"/>
        <v>46021</v>
      </c>
    </row>
    <row r="31" spans="1:24" x14ac:dyDescent="0.2">
      <c r="A31" s="48" t="s">
        <v>1</v>
      </c>
      <c r="B31" s="18" t="s">
        <v>51</v>
      </c>
      <c r="C31" s="74" t="s">
        <v>7</v>
      </c>
      <c r="D31" s="74" t="s">
        <v>8</v>
      </c>
      <c r="E31" s="74" t="s">
        <v>7</v>
      </c>
      <c r="F31" s="19" t="s">
        <v>8</v>
      </c>
      <c r="G31" s="48" t="s">
        <v>1</v>
      </c>
      <c r="H31" s="18" t="s">
        <v>7</v>
      </c>
      <c r="I31" s="74" t="s">
        <v>8</v>
      </c>
      <c r="J31" s="74" t="s">
        <v>7</v>
      </c>
      <c r="K31" s="19" t="s">
        <v>8</v>
      </c>
      <c r="M31" s="48" t="s">
        <v>1</v>
      </c>
      <c r="N31" s="18" t="s">
        <v>52</v>
      </c>
      <c r="O31" s="74" t="s">
        <v>7</v>
      </c>
      <c r="P31" s="74" t="s">
        <v>8</v>
      </c>
      <c r="Q31" s="19" t="s">
        <v>7</v>
      </c>
      <c r="S31" s="62" t="s">
        <v>1</v>
      </c>
      <c r="T31" s="18" t="s">
        <v>8</v>
      </c>
      <c r="U31" s="74" t="s">
        <v>7</v>
      </c>
      <c r="V31" s="74" t="s">
        <v>8</v>
      </c>
      <c r="W31" s="74" t="s">
        <v>82</v>
      </c>
      <c r="X31" s="81"/>
    </row>
    <row r="32" spans="1:24" x14ac:dyDescent="0.2">
      <c r="A32" s="48"/>
      <c r="B32" s="18" t="s">
        <v>54</v>
      </c>
      <c r="C32" s="74" t="s">
        <v>6</v>
      </c>
      <c r="D32" s="74" t="s">
        <v>50</v>
      </c>
      <c r="E32" s="74" t="s">
        <v>19</v>
      </c>
      <c r="F32" s="19" t="s">
        <v>22</v>
      </c>
      <c r="G32" s="48"/>
      <c r="H32" s="18" t="s">
        <v>23</v>
      </c>
      <c r="I32" s="74" t="s">
        <v>97</v>
      </c>
      <c r="J32" s="74" t="s">
        <v>19</v>
      </c>
      <c r="K32" s="19" t="s">
        <v>50</v>
      </c>
      <c r="M32" s="48"/>
      <c r="N32" s="18" t="s">
        <v>29</v>
      </c>
      <c r="O32" s="74" t="s">
        <v>6</v>
      </c>
      <c r="P32" s="74" t="s">
        <v>22</v>
      </c>
      <c r="Q32" s="19" t="s">
        <v>19</v>
      </c>
      <c r="S32" s="62"/>
      <c r="T32" s="18" t="s">
        <v>50</v>
      </c>
      <c r="U32" s="74" t="s">
        <v>23</v>
      </c>
      <c r="V32" s="74" t="s">
        <v>28</v>
      </c>
      <c r="W32" s="80"/>
      <c r="X32" s="81"/>
    </row>
    <row r="33" spans="1:24" x14ac:dyDescent="0.2">
      <c r="A33" s="48"/>
      <c r="B33" s="18" t="s">
        <v>37</v>
      </c>
      <c r="C33" s="74" t="s">
        <v>9</v>
      </c>
      <c r="D33" s="74" t="s">
        <v>56</v>
      </c>
      <c r="E33" s="74" t="s">
        <v>26</v>
      </c>
      <c r="F33" s="19" t="s">
        <v>18</v>
      </c>
      <c r="G33" s="48"/>
      <c r="H33" s="18" t="s">
        <v>9</v>
      </c>
      <c r="I33" s="74" t="s">
        <v>55</v>
      </c>
      <c r="J33" s="74" t="s">
        <v>18</v>
      </c>
      <c r="K33" s="19" t="s">
        <v>59</v>
      </c>
      <c r="M33" s="48"/>
      <c r="N33" s="18" t="s">
        <v>55</v>
      </c>
      <c r="O33" s="74" t="s">
        <v>23</v>
      </c>
      <c r="P33" s="74" t="s">
        <v>24</v>
      </c>
      <c r="Q33" s="19" t="s">
        <v>18</v>
      </c>
      <c r="S33" s="62"/>
      <c r="T33" s="18" t="s">
        <v>34</v>
      </c>
      <c r="U33" s="74" t="s">
        <v>51</v>
      </c>
      <c r="V33" s="74" t="s">
        <v>7</v>
      </c>
      <c r="W33" s="80"/>
      <c r="X33" s="81"/>
    </row>
    <row r="34" spans="1:24" ht="17" thickBot="1" x14ac:dyDescent="0.25">
      <c r="A34" s="48"/>
      <c r="B34" s="18" t="s">
        <v>42</v>
      </c>
      <c r="C34" s="74" t="s">
        <v>8</v>
      </c>
      <c r="D34" s="74" t="s">
        <v>95</v>
      </c>
      <c r="E34" s="74" t="s">
        <v>105</v>
      </c>
      <c r="F34" s="19" t="s">
        <v>61</v>
      </c>
      <c r="G34" s="48"/>
      <c r="H34" s="18" t="s">
        <v>51</v>
      </c>
      <c r="I34" s="74" t="s">
        <v>57</v>
      </c>
      <c r="J34" s="74" t="s">
        <v>36</v>
      </c>
      <c r="K34" s="19" t="s">
        <v>94</v>
      </c>
      <c r="M34" s="48"/>
      <c r="N34" s="88" t="s">
        <v>28</v>
      </c>
      <c r="O34" s="74" t="s">
        <v>45</v>
      </c>
      <c r="P34" s="74" t="s">
        <v>105</v>
      </c>
      <c r="Q34" s="19" t="s">
        <v>52</v>
      </c>
      <c r="S34" s="62"/>
      <c r="T34" s="18" t="s">
        <v>60</v>
      </c>
      <c r="U34" s="74" t="s">
        <v>102</v>
      </c>
      <c r="V34" s="74" t="s">
        <v>19</v>
      </c>
      <c r="W34" s="80"/>
      <c r="X34" s="81"/>
    </row>
    <row r="35" spans="1:24" ht="7" customHeight="1" x14ac:dyDescent="0.2">
      <c r="A35" s="2"/>
      <c r="B35" s="20"/>
      <c r="C35" s="65"/>
      <c r="D35" s="65"/>
      <c r="E35" s="65"/>
      <c r="F35" s="21"/>
      <c r="H35" s="20"/>
      <c r="I35" s="65"/>
      <c r="J35" s="65"/>
      <c r="K35" s="21"/>
      <c r="N35" s="20"/>
      <c r="O35" s="65"/>
      <c r="P35" s="65"/>
      <c r="Q35" s="21"/>
      <c r="T35" s="20"/>
      <c r="U35" s="65"/>
      <c r="V35" s="65"/>
      <c r="W35" s="65"/>
      <c r="X35" s="81"/>
    </row>
    <row r="36" spans="1:24" x14ac:dyDescent="0.2">
      <c r="A36" s="49" t="s">
        <v>2</v>
      </c>
      <c r="B36" s="20" t="s">
        <v>7</v>
      </c>
      <c r="C36" s="65" t="s">
        <v>7</v>
      </c>
      <c r="D36" s="65" t="s">
        <v>7</v>
      </c>
      <c r="E36" s="65" t="s">
        <v>7</v>
      </c>
      <c r="F36" s="21" t="s">
        <v>7</v>
      </c>
      <c r="G36" s="49" t="s">
        <v>2</v>
      </c>
      <c r="H36" s="20" t="s">
        <v>7</v>
      </c>
      <c r="I36" s="65" t="s">
        <v>7</v>
      </c>
      <c r="J36" s="65" t="s">
        <v>7</v>
      </c>
      <c r="K36" s="21" t="s">
        <v>7</v>
      </c>
      <c r="M36" s="49" t="s">
        <v>2</v>
      </c>
      <c r="N36" s="20" t="s">
        <v>7</v>
      </c>
      <c r="O36" s="65" t="s">
        <v>7</v>
      </c>
      <c r="P36" s="65" t="s">
        <v>7</v>
      </c>
      <c r="Q36" s="21" t="s">
        <v>7</v>
      </c>
      <c r="S36" s="49" t="s">
        <v>2</v>
      </c>
      <c r="T36" s="20" t="s">
        <v>7</v>
      </c>
      <c r="U36" s="65" t="s">
        <v>7</v>
      </c>
      <c r="V36" s="65" t="s">
        <v>7</v>
      </c>
      <c r="W36" s="65" t="s">
        <v>7</v>
      </c>
      <c r="X36" s="81"/>
    </row>
    <row r="37" spans="1:24" x14ac:dyDescent="0.2">
      <c r="A37" s="49"/>
      <c r="B37" s="20" t="s">
        <v>8</v>
      </c>
      <c r="C37" s="65" t="s">
        <v>8</v>
      </c>
      <c r="D37" s="65" t="s">
        <v>51</v>
      </c>
      <c r="E37" s="65" t="s">
        <v>8</v>
      </c>
      <c r="F37" s="21" t="s">
        <v>45</v>
      </c>
      <c r="G37" s="49"/>
      <c r="H37" s="20" t="s">
        <v>8</v>
      </c>
      <c r="I37" s="65" t="s">
        <v>8</v>
      </c>
      <c r="J37" s="65" t="s">
        <v>8</v>
      </c>
      <c r="K37" s="21" t="s">
        <v>8</v>
      </c>
      <c r="M37" s="49"/>
      <c r="N37" s="20" t="s">
        <v>8</v>
      </c>
      <c r="O37" s="65" t="s">
        <v>8</v>
      </c>
      <c r="P37" s="66" t="s">
        <v>8</v>
      </c>
      <c r="Q37" s="21" t="s">
        <v>8</v>
      </c>
      <c r="S37" s="49"/>
      <c r="T37" s="20" t="s">
        <v>8</v>
      </c>
      <c r="U37" s="65" t="s">
        <v>8</v>
      </c>
      <c r="V37" s="66" t="s">
        <v>8</v>
      </c>
      <c r="W37" s="65" t="s">
        <v>8</v>
      </c>
      <c r="X37" s="81"/>
    </row>
    <row r="38" spans="1:24" x14ac:dyDescent="0.2">
      <c r="A38" s="49"/>
      <c r="B38" s="20" t="s">
        <v>22</v>
      </c>
      <c r="C38" s="65" t="s">
        <v>18</v>
      </c>
      <c r="D38" s="65" t="s">
        <v>23</v>
      </c>
      <c r="E38" s="65" t="s">
        <v>6</v>
      </c>
      <c r="F38" s="21" t="s">
        <v>50</v>
      </c>
      <c r="G38" s="49"/>
      <c r="H38" s="20" t="s">
        <v>50</v>
      </c>
      <c r="I38" s="65" t="s">
        <v>19</v>
      </c>
      <c r="J38" s="65" t="s">
        <v>22</v>
      </c>
      <c r="K38" s="21" t="s">
        <v>23</v>
      </c>
      <c r="M38" s="49"/>
      <c r="N38" s="20" t="s">
        <v>18</v>
      </c>
      <c r="O38" s="65" t="s">
        <v>50</v>
      </c>
      <c r="P38" s="65" t="s">
        <v>45</v>
      </c>
      <c r="Q38" s="71" t="s">
        <v>6</v>
      </c>
      <c r="S38" s="49"/>
      <c r="T38" s="20" t="s">
        <v>51</v>
      </c>
      <c r="U38" s="65" t="s">
        <v>50</v>
      </c>
      <c r="V38" s="65" t="s">
        <v>19</v>
      </c>
      <c r="W38" s="65" t="s">
        <v>51</v>
      </c>
      <c r="X38" s="81"/>
    </row>
    <row r="39" spans="1:24" x14ac:dyDescent="0.2">
      <c r="A39" s="49"/>
      <c r="B39" s="20" t="s">
        <v>55</v>
      </c>
      <c r="C39" s="65" t="s">
        <v>19</v>
      </c>
      <c r="D39" s="65" t="s">
        <v>25</v>
      </c>
      <c r="E39" s="65" t="s">
        <v>18</v>
      </c>
      <c r="F39" s="71" t="s">
        <v>90</v>
      </c>
      <c r="G39" s="49"/>
      <c r="H39" s="69" t="s">
        <v>9</v>
      </c>
      <c r="I39" s="65" t="s">
        <v>28</v>
      </c>
      <c r="J39" s="66" t="s">
        <v>102</v>
      </c>
      <c r="K39" s="21" t="s">
        <v>6</v>
      </c>
      <c r="M39" s="49"/>
      <c r="N39" s="20" t="s">
        <v>19</v>
      </c>
      <c r="O39" s="65" t="s">
        <v>51</v>
      </c>
      <c r="P39" s="65" t="s">
        <v>26</v>
      </c>
      <c r="Q39" s="21" t="s">
        <v>18</v>
      </c>
      <c r="S39" s="49"/>
      <c r="T39" s="20" t="s">
        <v>54</v>
      </c>
      <c r="U39" s="65" t="s">
        <v>22</v>
      </c>
      <c r="V39" s="65" t="s">
        <v>6</v>
      </c>
      <c r="W39" s="77"/>
      <c r="X39" s="81"/>
    </row>
    <row r="40" spans="1:24" x14ac:dyDescent="0.2">
      <c r="A40" s="49"/>
      <c r="B40" s="20" t="s">
        <v>42</v>
      </c>
      <c r="C40" s="65" t="s">
        <v>57</v>
      </c>
      <c r="D40" s="65" t="s">
        <v>29</v>
      </c>
      <c r="E40" s="65" t="s">
        <v>52</v>
      </c>
      <c r="F40" s="71" t="s">
        <v>34</v>
      </c>
      <c r="G40" s="49"/>
      <c r="H40" s="20" t="s">
        <v>52</v>
      </c>
      <c r="I40" s="65" t="s">
        <v>105</v>
      </c>
      <c r="J40" s="65" t="s">
        <v>56</v>
      </c>
      <c r="K40" s="21" t="s">
        <v>37</v>
      </c>
      <c r="M40" s="49"/>
      <c r="N40" s="20" t="s">
        <v>59</v>
      </c>
      <c r="O40" s="66" t="s">
        <v>9</v>
      </c>
      <c r="P40" s="65" t="s">
        <v>56</v>
      </c>
      <c r="Q40" s="71" t="s">
        <v>95</v>
      </c>
      <c r="S40" s="49"/>
      <c r="T40" s="20" t="s">
        <v>55</v>
      </c>
      <c r="U40" s="65" t="s">
        <v>24</v>
      </c>
      <c r="V40" s="66" t="s">
        <v>8</v>
      </c>
      <c r="W40" s="66" t="s">
        <v>55</v>
      </c>
      <c r="X40" s="81"/>
    </row>
    <row r="41" spans="1:24" ht="17" thickBot="1" x14ac:dyDescent="0.25">
      <c r="A41" s="49"/>
      <c r="B41" s="22" t="s">
        <v>58</v>
      </c>
      <c r="C41" s="23" t="s">
        <v>74</v>
      </c>
      <c r="D41" s="23" t="s">
        <v>60</v>
      </c>
      <c r="E41" s="23" t="s">
        <v>53</v>
      </c>
      <c r="F41" s="24" t="s">
        <v>36</v>
      </c>
      <c r="G41" s="49"/>
      <c r="H41" s="22" t="s">
        <v>61</v>
      </c>
      <c r="I41" s="23" t="s">
        <v>42</v>
      </c>
      <c r="J41" s="23" t="s">
        <v>94</v>
      </c>
      <c r="K41" s="79" t="s">
        <v>74</v>
      </c>
      <c r="M41" s="49"/>
      <c r="N41" s="22" t="s">
        <v>96</v>
      </c>
      <c r="O41" s="23" t="s">
        <v>62</v>
      </c>
      <c r="P41" s="23" t="s">
        <v>74</v>
      </c>
      <c r="Q41" s="24" t="s">
        <v>75</v>
      </c>
      <c r="S41" s="49"/>
      <c r="T41" s="22" t="s">
        <v>98</v>
      </c>
      <c r="U41" s="23" t="s">
        <v>93</v>
      </c>
      <c r="V41" s="23" t="s">
        <v>74</v>
      </c>
      <c r="W41" s="23" t="s">
        <v>18</v>
      </c>
      <c r="X41" s="82"/>
    </row>
    <row r="42" spans="1:24" x14ac:dyDescent="0.2">
      <c r="A42" s="30"/>
      <c r="B42" s="65"/>
      <c r="G42" s="30"/>
      <c r="H42" s="65"/>
      <c r="I42" s="65"/>
      <c r="J42" s="65"/>
      <c r="K42" s="65"/>
      <c r="M42" s="30"/>
      <c r="N42" s="65"/>
      <c r="O42" s="65"/>
      <c r="P42" s="65"/>
      <c r="Q42" s="65"/>
      <c r="S42" s="30"/>
      <c r="T42" s="65"/>
      <c r="U42" s="65"/>
      <c r="V42" s="65"/>
      <c r="W42" s="65"/>
      <c r="X42" s="65"/>
    </row>
    <row r="43" spans="1:24" x14ac:dyDescent="0.2">
      <c r="D43" s="31" t="s">
        <v>64</v>
      </c>
      <c r="E43" s="31"/>
      <c r="F43" s="31"/>
      <c r="G43" s="31"/>
      <c r="H43" s="31"/>
      <c r="I43" s="31"/>
      <c r="J43" s="31" t="s">
        <v>2</v>
      </c>
      <c r="K43" s="31"/>
      <c r="L43" s="31"/>
      <c r="M43" s="31"/>
      <c r="N43" s="31"/>
      <c r="O43" s="31"/>
    </row>
    <row r="44" spans="1:24" x14ac:dyDescent="0.2">
      <c r="B44" s="64" t="s">
        <v>106</v>
      </c>
      <c r="C44" s="64" t="s">
        <v>107</v>
      </c>
      <c r="D44" s="6" t="s">
        <v>48</v>
      </c>
      <c r="E44" s="6" t="s">
        <v>49</v>
      </c>
      <c r="F44" s="6" t="s">
        <v>47</v>
      </c>
      <c r="G44" s="7"/>
      <c r="H44" s="6" t="s">
        <v>110</v>
      </c>
      <c r="I44" s="6" t="s">
        <v>109</v>
      </c>
      <c r="J44" s="4" t="s">
        <v>48</v>
      </c>
      <c r="K44" s="4" t="s">
        <v>49</v>
      </c>
      <c r="L44" s="4" t="s">
        <v>47</v>
      </c>
      <c r="M44" s="5"/>
      <c r="N44" s="4" t="s">
        <v>110</v>
      </c>
      <c r="O44" s="4" t="s">
        <v>109</v>
      </c>
      <c r="Q44" s="59" t="s">
        <v>83</v>
      </c>
      <c r="R44" s="59"/>
      <c r="S44" s="59"/>
      <c r="T44" s="59"/>
      <c r="U44" s="59"/>
      <c r="V44" s="59"/>
    </row>
    <row r="45" spans="1:24" x14ac:dyDescent="0.2">
      <c r="B45" s="67" t="s">
        <v>7</v>
      </c>
      <c r="C45" t="str">
        <f>B45</f>
        <v>Mowing</v>
      </c>
      <c r="D45">
        <f>COUNTIF(BlogsJanApril,"Mowing")</f>
        <v>9</v>
      </c>
      <c r="E45">
        <f>COUNTIF(BlogsMayAug,"Mowing")</f>
        <v>8</v>
      </c>
      <c r="F45">
        <f>COUNTIF(BlogsSepDec,"Mowing")</f>
        <v>8</v>
      </c>
      <c r="H45">
        <f>SUM(D45:F45)</f>
        <v>25</v>
      </c>
      <c r="I45">
        <v>25</v>
      </c>
      <c r="J45">
        <f>COUNTIF(ButtonsJanApril,"Mowing")</f>
        <v>16</v>
      </c>
      <c r="K45">
        <f>COUNTIF(ButtonsMayAug,"Mowing")</f>
        <v>17</v>
      </c>
      <c r="L45">
        <f>COUNTIF(ButtonsOctDec,"Mowing")</f>
        <v>17</v>
      </c>
      <c r="N45">
        <f>SUM(J45:L45)</f>
        <v>50</v>
      </c>
      <c r="O45">
        <v>50</v>
      </c>
      <c r="Q45" s="59"/>
      <c r="R45" s="59"/>
      <c r="S45" s="59"/>
      <c r="T45" s="59"/>
      <c r="U45" s="59"/>
      <c r="V45" s="59"/>
    </row>
    <row r="46" spans="1:24" x14ac:dyDescent="0.2">
      <c r="B46" t="s">
        <v>8</v>
      </c>
      <c r="C46" t="str">
        <f t="shared" ref="C46:C90" si="12">B46</f>
        <v>Cleaning</v>
      </c>
      <c r="D46">
        <f>COUNTIF(BlogsJanApril,"Cleaning")</f>
        <v>9</v>
      </c>
      <c r="E46">
        <f>COUNTIF(B17:X20,"Cleaning")</f>
        <v>8</v>
      </c>
      <c r="F46">
        <f>COUNTIF(BlogsSepDec,"Cleaning")</f>
        <v>8</v>
      </c>
      <c r="H46">
        <f>SUM(D46:F46)</f>
        <v>25</v>
      </c>
      <c r="I46">
        <v>25</v>
      </c>
      <c r="J46">
        <f>COUNTIF(ButtonsJanApril,"Cleaning")</f>
        <v>17</v>
      </c>
      <c r="K46">
        <f>COUNTIF(ButtonsMayAug,"Cleaning")</f>
        <v>17</v>
      </c>
      <c r="L46">
        <f>COUNTIF(ButtonsOctDec,"Cleaning")</f>
        <v>16</v>
      </c>
      <c r="N46">
        <f t="shared" ref="N46:N89" si="13">SUM(J46:L46)</f>
        <v>50</v>
      </c>
      <c r="O46">
        <v>50</v>
      </c>
      <c r="Q46" s="59"/>
      <c r="R46" s="59"/>
      <c r="S46" s="59"/>
      <c r="T46" s="59"/>
      <c r="U46" s="59"/>
      <c r="V46" s="59"/>
    </row>
    <row r="47" spans="1:24" x14ac:dyDescent="0.2">
      <c r="B47" t="s">
        <v>18</v>
      </c>
      <c r="C47" t="str">
        <f t="shared" si="12"/>
        <v>Test &amp; Tag</v>
      </c>
      <c r="D47">
        <f>COUNTIF(BlogsJanApril,"Test &amp; Tag")</f>
        <v>3</v>
      </c>
      <c r="E47">
        <f>COUNTIF(B17:X20,"Test &amp; Tag")</f>
        <v>4</v>
      </c>
      <c r="F47">
        <f>COUNTIF(BlogsSepDec,"Test &amp; Tag")</f>
        <v>3</v>
      </c>
      <c r="H47">
        <f t="shared" ref="H47:H83" si="14">SUM(D47:F47)</f>
        <v>10</v>
      </c>
      <c r="I47">
        <v>10</v>
      </c>
      <c r="J47">
        <f>COUNTIF(ButtonsJanApril,"Test &amp; Tag")</f>
        <v>7</v>
      </c>
      <c r="K47">
        <f>COUNTIF(ButtonsMayAug,"Test &amp; Tag")</f>
        <v>5</v>
      </c>
      <c r="L47">
        <f>COUNTIF(ButtonsOctDec,"Test &amp; Tag")</f>
        <v>5</v>
      </c>
      <c r="N47">
        <f t="shared" si="13"/>
        <v>17</v>
      </c>
      <c r="O47">
        <v>17</v>
      </c>
      <c r="Q47" s="59"/>
      <c r="R47" s="59"/>
      <c r="S47" s="59"/>
      <c r="T47" s="59"/>
      <c r="U47" s="59"/>
      <c r="V47" s="59"/>
    </row>
    <row r="48" spans="1:24" x14ac:dyDescent="0.2">
      <c r="B48" t="s">
        <v>19</v>
      </c>
      <c r="C48" t="str">
        <f t="shared" si="12"/>
        <v>Car Detailing</v>
      </c>
      <c r="D48">
        <f>COUNTIF(BlogsJanApril,"Car Detailing")</f>
        <v>2</v>
      </c>
      <c r="E48">
        <f>COUNTIF(B17:X20,"Car Detailing")</f>
        <v>4</v>
      </c>
      <c r="F48">
        <f>COUNTIF(BlogsSepDec,"Car Detailing")</f>
        <v>4</v>
      </c>
      <c r="H48">
        <f t="shared" si="14"/>
        <v>10</v>
      </c>
      <c r="I48">
        <v>10</v>
      </c>
      <c r="J48">
        <f>COUNTIF(ButtonsJanApril,"Car Detailing")</f>
        <v>5</v>
      </c>
      <c r="K48">
        <f>COUNTIF(ButtonsMayAug,"Car Detailing")</f>
        <v>7</v>
      </c>
      <c r="L48">
        <f>COUNTIF(ButtonsOctDec,"Car Detailing")</f>
        <v>4</v>
      </c>
      <c r="N48">
        <f t="shared" si="13"/>
        <v>16</v>
      </c>
      <c r="O48">
        <v>16</v>
      </c>
      <c r="Q48" s="59"/>
      <c r="R48" s="59"/>
      <c r="S48" s="59"/>
      <c r="T48" s="59"/>
      <c r="U48" s="59"/>
      <c r="V48" s="59"/>
    </row>
    <row r="49" spans="2:22" x14ac:dyDescent="0.2">
      <c r="B49" t="s">
        <v>6</v>
      </c>
      <c r="C49" t="str">
        <f t="shared" si="12"/>
        <v>Dog Wash</v>
      </c>
      <c r="D49">
        <f>COUNTIF(BlogsJanApril,"Dog Wash")</f>
        <v>4</v>
      </c>
      <c r="E49">
        <f>COUNTIF(B17:X20,"Dog Wash")</f>
        <v>4</v>
      </c>
      <c r="F49">
        <f>COUNTIF(BlogsSepDec,"Dog Wash")</f>
        <v>2</v>
      </c>
      <c r="H49">
        <f t="shared" si="14"/>
        <v>10</v>
      </c>
      <c r="I49">
        <v>10</v>
      </c>
      <c r="J49">
        <f>COUNTIF(ButtonsJanApril,"Dog Wash")</f>
        <v>5</v>
      </c>
      <c r="K49">
        <f>COUNTIF(ButtonsMayAug,"Dog Wash")</f>
        <v>6</v>
      </c>
      <c r="L49">
        <f>COUNTIF(ButtonsOctDec,"Dog Wash")</f>
        <v>4</v>
      </c>
      <c r="N49">
        <f t="shared" si="13"/>
        <v>15</v>
      </c>
      <c r="O49">
        <v>15</v>
      </c>
      <c r="Q49" s="59"/>
      <c r="R49" s="59"/>
      <c r="S49" s="59"/>
      <c r="T49" s="59"/>
      <c r="U49" s="59"/>
      <c r="V49" s="59"/>
    </row>
    <row r="50" spans="2:22" x14ac:dyDescent="0.2">
      <c r="B50" t="s">
        <v>20</v>
      </c>
      <c r="C50" t="s">
        <v>50</v>
      </c>
      <c r="D50">
        <f>COUNTIF(BlogsJanApril,"Building Insp")</f>
        <v>2</v>
      </c>
      <c r="E50">
        <f>COUNTIF(B17:X20,"Building Insp")</f>
        <v>3</v>
      </c>
      <c r="F50">
        <f>COUNTIF(BlogsSepDec,"Building Insp")</f>
        <v>3</v>
      </c>
      <c r="H50">
        <f t="shared" si="14"/>
        <v>8</v>
      </c>
      <c r="I50" s="61">
        <v>8</v>
      </c>
      <c r="J50">
        <f>COUNTIF(ButtonsJanApril,"Building Insp")</f>
        <v>5</v>
      </c>
      <c r="K50">
        <f>COUNTIF(ButtonsMayAug,"Building Insp")</f>
        <v>4</v>
      </c>
      <c r="L50">
        <f>COUNTIF(ButtonsOctDec,"Building Insp")</f>
        <v>4</v>
      </c>
      <c r="N50">
        <f t="shared" si="13"/>
        <v>13</v>
      </c>
      <c r="O50">
        <v>13</v>
      </c>
      <c r="Q50" s="59"/>
      <c r="R50" s="59"/>
      <c r="S50" s="59"/>
      <c r="T50" s="59"/>
      <c r="U50" s="59"/>
      <c r="V50" s="59"/>
    </row>
    <row r="51" spans="2:22" x14ac:dyDescent="0.2">
      <c r="B51" t="s">
        <v>23</v>
      </c>
      <c r="C51" t="str">
        <f t="shared" si="12"/>
        <v>Pool Care</v>
      </c>
      <c r="D51">
        <f>COUNTIF(BlogsJanApril,"Pool Care")</f>
        <v>3</v>
      </c>
      <c r="E51">
        <f>COUNTIF(B17:X20,"Pool Care")</f>
        <v>1</v>
      </c>
      <c r="F51">
        <f>COUNTIF(BlogsSepDec,"Pool Care")</f>
        <v>3</v>
      </c>
      <c r="H51">
        <f t="shared" si="14"/>
        <v>7</v>
      </c>
      <c r="I51" s="61">
        <v>7</v>
      </c>
      <c r="J51">
        <f>COUNTIF(ButtonsJanApril,"Pool Care")</f>
        <v>3</v>
      </c>
      <c r="K51">
        <f>COUNTIF(ButtonsMayAug,"Pool Care")</f>
        <v>5</v>
      </c>
      <c r="L51">
        <f>COUNTIF(ButtonsOctDec,"Pool Care")</f>
        <v>2</v>
      </c>
      <c r="N51">
        <f t="shared" si="13"/>
        <v>10</v>
      </c>
      <c r="O51">
        <v>10</v>
      </c>
    </row>
    <row r="52" spans="2:22" x14ac:dyDescent="0.2">
      <c r="B52" t="s">
        <v>21</v>
      </c>
      <c r="C52" t="s">
        <v>51</v>
      </c>
      <c r="D52">
        <f>COUNTIF(BlogsJanApril,"Carpet C")</f>
        <v>2</v>
      </c>
      <c r="E52">
        <f>COUNTIF(B17:X20,"Carpet C")</f>
        <v>1</v>
      </c>
      <c r="F52">
        <f>COUNTIF(BlogsSepDec,"Carpet C")</f>
        <v>3</v>
      </c>
      <c r="H52">
        <f t="shared" si="14"/>
        <v>6</v>
      </c>
      <c r="I52" s="61">
        <v>6</v>
      </c>
      <c r="J52">
        <f>COUNTIF(ButtonsJanApril,"Carpet C")</f>
        <v>3</v>
      </c>
      <c r="K52">
        <f>COUNTIF(ButtonsMayAug,"Carpet C")</f>
        <v>3</v>
      </c>
      <c r="L52">
        <f>COUNTIF(ButtonsOctDec,"Carpet C")</f>
        <v>4</v>
      </c>
      <c r="N52">
        <f t="shared" si="13"/>
        <v>10</v>
      </c>
      <c r="O52">
        <v>10</v>
      </c>
    </row>
    <row r="53" spans="2:22" x14ac:dyDescent="0.2">
      <c r="B53" t="s">
        <v>9</v>
      </c>
      <c r="C53" t="str">
        <f t="shared" si="12"/>
        <v>Antennas</v>
      </c>
      <c r="D53">
        <f>COUNTIF(BlogsJanApril,"Antennas")</f>
        <v>1</v>
      </c>
      <c r="E53">
        <f>COUNTIF(B17:X20,"Antennas")</f>
        <v>1</v>
      </c>
      <c r="F53">
        <f>COUNTIF(BlogsSepDec,"Antennas")</f>
        <v>2</v>
      </c>
      <c r="H53">
        <f t="shared" si="14"/>
        <v>4</v>
      </c>
      <c r="I53" s="61">
        <v>4</v>
      </c>
      <c r="J53">
        <f>COUNTIF(ButtonsJanApril,"Antennas")</f>
        <v>3</v>
      </c>
      <c r="K53">
        <f>COUNTIF(ButtonsMayAug,"Antennas")</f>
        <v>1</v>
      </c>
      <c r="L53">
        <f>COUNTIF(ButtonsOctDec,"Antennas")</f>
        <v>2</v>
      </c>
      <c r="N53">
        <f t="shared" si="13"/>
        <v>6</v>
      </c>
      <c r="O53">
        <v>6</v>
      </c>
    </row>
    <row r="54" spans="2:22" x14ac:dyDescent="0.2">
      <c r="B54" t="s">
        <v>22</v>
      </c>
      <c r="C54" t="str">
        <f t="shared" si="12"/>
        <v>Fencing</v>
      </c>
      <c r="D54">
        <f>COUNTIF(BlogsJanApril,"Fencing")</f>
        <v>2</v>
      </c>
      <c r="E54">
        <f>COUNTIF(B17:X20,"Fencing")</f>
        <v>2</v>
      </c>
      <c r="F54">
        <f>COUNTIF(BlogsSepDec,"Fencing")</f>
        <v>2</v>
      </c>
      <c r="H54">
        <f t="shared" si="14"/>
        <v>6</v>
      </c>
      <c r="I54" s="61">
        <v>6</v>
      </c>
      <c r="J54">
        <f>COUNTIF(ButtonsJanApril,"Fencing")</f>
        <v>2</v>
      </c>
      <c r="K54">
        <f>COUNTIF(ButtonsMayAug,"Fencing")</f>
        <v>2</v>
      </c>
      <c r="L54">
        <f>COUNTIF(ButtonsOctDec,"Fencing")</f>
        <v>3</v>
      </c>
      <c r="N54">
        <f t="shared" si="13"/>
        <v>7</v>
      </c>
      <c r="O54">
        <v>7</v>
      </c>
    </row>
    <row r="55" spans="2:22" x14ac:dyDescent="0.2">
      <c r="B55" t="s">
        <v>30</v>
      </c>
      <c r="C55" t="s">
        <v>55</v>
      </c>
      <c r="D55">
        <f>COUNTIF(BlogsJanApril,"Laundry")</f>
        <v>2</v>
      </c>
      <c r="E55">
        <f>COUNTIF(B17:X20,"Laundry")</f>
        <v>2</v>
      </c>
      <c r="F55">
        <f>COUNTIF(BlogsSepDec,"Laundry")</f>
        <v>2</v>
      </c>
      <c r="H55">
        <f t="shared" si="14"/>
        <v>6</v>
      </c>
      <c r="I55" s="61">
        <v>6</v>
      </c>
      <c r="J55">
        <f>COUNTIF(ButtonsJanApril,"Laundry")</f>
        <v>3</v>
      </c>
      <c r="K55">
        <f>COUNTIF(ButtonsMayAug,"Laundry")</f>
        <v>1</v>
      </c>
      <c r="L55">
        <f>COUNTIF(ButtonsOctDec,"Laundry")</f>
        <v>3</v>
      </c>
      <c r="N55">
        <f t="shared" si="13"/>
        <v>7</v>
      </c>
      <c r="O55">
        <v>7</v>
      </c>
    </row>
    <row r="56" spans="2:22" x14ac:dyDescent="0.2">
      <c r="B56" t="s">
        <v>33</v>
      </c>
      <c r="C56" t="s">
        <v>52</v>
      </c>
      <c r="D56">
        <f>COUNTIF(BlogsJanApril,"Window Pres")</f>
        <v>1</v>
      </c>
      <c r="E56">
        <f>COUNTIF(B17:X20,"Window Pres")</f>
        <v>2</v>
      </c>
      <c r="F56">
        <f>COUNTIF(BlogsSepDec,"Window Pres")</f>
        <v>2</v>
      </c>
      <c r="H56">
        <f t="shared" si="14"/>
        <v>5</v>
      </c>
      <c r="I56" s="61">
        <v>5</v>
      </c>
      <c r="J56">
        <f>COUNTIF(ButtonsJanApril,"Window Pres")</f>
        <v>2</v>
      </c>
      <c r="K56">
        <f>COUNTIF(ButtonsMayAug,"Window Pres")</f>
        <v>2</v>
      </c>
      <c r="L56">
        <f>COUNTIF(ButtonsOctDec,"Window Pres")</f>
        <v>2</v>
      </c>
      <c r="N56">
        <f t="shared" si="13"/>
        <v>6</v>
      </c>
      <c r="O56">
        <v>6</v>
      </c>
    </row>
    <row r="57" spans="2:22" x14ac:dyDescent="0.2">
      <c r="B57" t="s">
        <v>31</v>
      </c>
      <c r="C57" t="s">
        <v>56</v>
      </c>
      <c r="D57">
        <f>COUNTIF(BlogsJanApril,"Pest Control")</f>
        <v>2</v>
      </c>
      <c r="E57">
        <f>COUNTIF(B17:X20,"Pest Control")</f>
        <v>2</v>
      </c>
      <c r="F57">
        <f>COUNTIF(BlogsSepDec,"Pest Control")</f>
        <v>1</v>
      </c>
      <c r="H57">
        <f t="shared" si="14"/>
        <v>5</v>
      </c>
      <c r="I57" s="61">
        <v>5</v>
      </c>
      <c r="J57">
        <f>COUNTIF(ButtonsJanApril,"Pest Control")</f>
        <v>2</v>
      </c>
      <c r="K57">
        <f>COUNTIF(ButtonsMayAug,"Pest Control")</f>
        <v>2</v>
      </c>
      <c r="L57">
        <f>COUNTIF(ButtonsOctDec,"Pest Control")</f>
        <v>2</v>
      </c>
      <c r="N57">
        <f t="shared" si="13"/>
        <v>6</v>
      </c>
      <c r="O57">
        <v>6</v>
      </c>
    </row>
    <row r="58" spans="2:22" x14ac:dyDescent="0.2">
      <c r="B58" t="s">
        <v>28</v>
      </c>
      <c r="C58" t="str">
        <f t="shared" si="12"/>
        <v>Handyman</v>
      </c>
      <c r="D58">
        <f>COUNTIF(BlogsJanApril,"Handyman")</f>
        <v>2</v>
      </c>
      <c r="E58">
        <f>COUNTIF(B17:X20,"Handyman")</f>
        <v>1</v>
      </c>
      <c r="F58">
        <f>COUNTIF(BlogsSepDec,"Handyman")</f>
        <v>2</v>
      </c>
      <c r="H58">
        <f t="shared" si="14"/>
        <v>5</v>
      </c>
      <c r="I58" s="61">
        <v>5</v>
      </c>
      <c r="J58">
        <f>COUNTIF(ButtonsJanApril,"Handyman")</f>
        <v>2</v>
      </c>
      <c r="K58">
        <f>COUNTIF(ButtonsMayAug,"Handyman")</f>
        <v>2</v>
      </c>
      <c r="L58">
        <f>COUNTIF(ButtonsOctDec,"Handyman")</f>
        <v>1</v>
      </c>
      <c r="N58">
        <f t="shared" si="13"/>
        <v>5</v>
      </c>
      <c r="O58">
        <v>5</v>
      </c>
    </row>
    <row r="59" spans="2:22" x14ac:dyDescent="0.2">
      <c r="B59" t="s">
        <v>25</v>
      </c>
      <c r="C59" t="str">
        <f t="shared" si="12"/>
        <v>Bookkeeping</v>
      </c>
      <c r="D59">
        <f>COUNTIF(BlogsJanApril,"Bookkeeping")</f>
        <v>2</v>
      </c>
      <c r="E59">
        <f>COUNTIF(B17:X20,"Bookkeeping")</f>
        <v>1</v>
      </c>
      <c r="F59">
        <f>COUNTIF(BlogsSepDec,"Bookkeeping")</f>
        <v>0</v>
      </c>
      <c r="H59">
        <f t="shared" si="14"/>
        <v>3</v>
      </c>
      <c r="I59" s="61">
        <v>3</v>
      </c>
      <c r="J59">
        <f>COUNTIF(ButtonsJanApril,"Bookkeeping")</f>
        <v>0</v>
      </c>
      <c r="K59">
        <f>COUNTIF(ButtonsMayAug,"Bookkeeping")</f>
        <v>2</v>
      </c>
      <c r="L59">
        <f>COUNTIF(ButtonsOctDec,"Bookkeeping")</f>
        <v>1</v>
      </c>
      <c r="N59">
        <f t="shared" si="13"/>
        <v>3</v>
      </c>
      <c r="O59">
        <v>3</v>
      </c>
    </row>
    <row r="60" spans="2:22" x14ac:dyDescent="0.2">
      <c r="B60" t="s">
        <v>29</v>
      </c>
      <c r="C60" t="str">
        <f t="shared" si="12"/>
        <v>IT</v>
      </c>
      <c r="D60">
        <f>COUNTIF(BlogsJanApril,"IT")</f>
        <v>1</v>
      </c>
      <c r="E60">
        <f>COUNTIF(B17:X20,"IT")</f>
        <v>1</v>
      </c>
      <c r="F60">
        <f>COUNTIF(BlogsSepDec,"IT")</f>
        <v>1</v>
      </c>
      <c r="H60">
        <f t="shared" si="14"/>
        <v>3</v>
      </c>
      <c r="I60" s="61">
        <v>3</v>
      </c>
      <c r="J60">
        <f>COUNTIF(ButtonsJanApril,"IT")</f>
        <v>1</v>
      </c>
      <c r="K60">
        <f>COUNTIF(ButtonsMayAug,"IT")</f>
        <v>1</v>
      </c>
      <c r="L60">
        <f>COUNTIF(ButtonsOctDec,"IT")</f>
        <v>1</v>
      </c>
      <c r="N60">
        <f t="shared" si="13"/>
        <v>3</v>
      </c>
      <c r="O60">
        <v>3</v>
      </c>
    </row>
    <row r="61" spans="2:22" x14ac:dyDescent="0.2">
      <c r="B61" t="s">
        <v>99</v>
      </c>
      <c r="C61" t="s">
        <v>105</v>
      </c>
      <c r="D61">
        <f>COUNTIF(BlogsJanApril,"Shutters")</f>
        <v>1</v>
      </c>
      <c r="E61">
        <f>COUNTIF(B17:X20,"Shutters")</f>
        <v>0</v>
      </c>
      <c r="F61">
        <f>COUNTIF(BlogsSepDec,"Shutters")</f>
        <v>2</v>
      </c>
      <c r="H61">
        <f t="shared" si="14"/>
        <v>3</v>
      </c>
      <c r="I61" s="61">
        <v>3</v>
      </c>
      <c r="J61">
        <f>COUNTIF(ButtonsJanApril,"Shutters")</f>
        <v>1</v>
      </c>
      <c r="K61">
        <f>COUNTIF(ButtonsMayAug,"Shutters")</f>
        <v>1</v>
      </c>
      <c r="L61">
        <f>COUNTIF(ButtonsOctDec,"Shutters")</f>
        <v>1</v>
      </c>
      <c r="N61">
        <f t="shared" si="13"/>
        <v>3</v>
      </c>
      <c r="O61">
        <v>3</v>
      </c>
    </row>
    <row r="62" spans="2:22" x14ac:dyDescent="0.2">
      <c r="B62" t="s">
        <v>26</v>
      </c>
      <c r="C62" t="str">
        <f t="shared" si="12"/>
        <v>Diggers</v>
      </c>
      <c r="D62">
        <f>COUNTIF(BlogsJanApril,"Diggers")</f>
        <v>1</v>
      </c>
      <c r="E62">
        <f>COUNTIF(B17:X20,"Diggers")</f>
        <v>1</v>
      </c>
      <c r="F62">
        <f>COUNTIF(BlogsSepDec,"Diggers")</f>
        <v>1</v>
      </c>
      <c r="H62">
        <f t="shared" si="14"/>
        <v>3</v>
      </c>
      <c r="I62" s="61">
        <v>3</v>
      </c>
      <c r="J62">
        <f>COUNTIF(ButtonsJanApril,"Diggers")</f>
        <v>1</v>
      </c>
      <c r="K62">
        <f>COUNTIF(ButtonsMayAug,"Diggers")</f>
        <v>0</v>
      </c>
      <c r="L62">
        <f>COUNTIF(ButtonsOctDec,"Diggers")</f>
        <v>1</v>
      </c>
      <c r="N62">
        <f t="shared" si="13"/>
        <v>2</v>
      </c>
      <c r="O62">
        <v>2</v>
      </c>
    </row>
    <row r="63" spans="2:22" x14ac:dyDescent="0.2">
      <c r="B63" t="s">
        <v>24</v>
      </c>
      <c r="C63" t="str">
        <f t="shared" si="12"/>
        <v>Skip Bins</v>
      </c>
      <c r="D63">
        <f>COUNTIF(BlogsJanApril,"Skip Bins")</f>
        <v>1</v>
      </c>
      <c r="E63">
        <f>COUNTIF(B17:X20,"Skip Bins")</f>
        <v>1</v>
      </c>
      <c r="F63">
        <f>COUNTIF(BlogsSepDec,"Skip Bins")</f>
        <v>1</v>
      </c>
      <c r="H63">
        <f t="shared" si="14"/>
        <v>3</v>
      </c>
      <c r="I63" s="61">
        <v>3</v>
      </c>
      <c r="J63">
        <f>COUNTIF(ButtonsJanApril,"Skip Bins")</f>
        <v>1</v>
      </c>
      <c r="K63">
        <f>COUNTIF(ButtonsMayAug,"Skip Bins")</f>
        <v>0</v>
      </c>
      <c r="L63">
        <f>COUNTIF(ButtonsOctDec,"Skip Bins")</f>
        <v>1</v>
      </c>
      <c r="N63">
        <f t="shared" si="13"/>
        <v>2</v>
      </c>
      <c r="O63">
        <v>2</v>
      </c>
    </row>
    <row r="64" spans="2:22" x14ac:dyDescent="0.2">
      <c r="B64" t="s">
        <v>45</v>
      </c>
      <c r="C64" t="str">
        <f t="shared" si="12"/>
        <v>Security</v>
      </c>
      <c r="D64">
        <f>COUNTIF(BlogsJanApril,"Security")</f>
        <v>2</v>
      </c>
      <c r="E64">
        <f>COUNTIF(B17:X20,"Security")</f>
        <v>1</v>
      </c>
      <c r="F64">
        <f>COUNTIF(BlogsSepDec,"Security")</f>
        <v>1</v>
      </c>
      <c r="H64">
        <f t="shared" si="14"/>
        <v>4</v>
      </c>
      <c r="I64" s="61">
        <v>4</v>
      </c>
      <c r="J64">
        <f>COUNTIF(ButtonsJanApril,"Security")</f>
        <v>2</v>
      </c>
      <c r="K64">
        <f>COUNTIF(ButtonsMayAug,"Security")</f>
        <v>2</v>
      </c>
      <c r="L64">
        <f>COUNTIF(ButtonsOctDec,"Security")</f>
        <v>2</v>
      </c>
      <c r="N64">
        <f t="shared" si="13"/>
        <v>6</v>
      </c>
      <c r="O64">
        <v>6</v>
      </c>
    </row>
    <row r="65" spans="2:15" x14ac:dyDescent="0.2">
      <c r="B65" t="s">
        <v>42</v>
      </c>
      <c r="C65" t="str">
        <f t="shared" si="12"/>
        <v>Painting</v>
      </c>
      <c r="D65">
        <f>COUNTIF(BlogsJanApril,"Painting")</f>
        <v>1</v>
      </c>
      <c r="E65">
        <f>COUNTIF(B17:X20,"Painting")</f>
        <v>1</v>
      </c>
      <c r="F65">
        <f>COUNTIF(BlogsSepDec,"Painting")</f>
        <v>1</v>
      </c>
      <c r="H65">
        <f t="shared" si="14"/>
        <v>3</v>
      </c>
      <c r="I65" s="61">
        <v>3</v>
      </c>
      <c r="J65">
        <f>COUNTIF(ButtonsJanApril,"Painting")</f>
        <v>0</v>
      </c>
      <c r="K65">
        <f>COUNTIF(ButtonsMayAug,"Painting")</f>
        <v>0</v>
      </c>
      <c r="L65">
        <f>COUNTIF(ButtonsOctDec,"Painting")</f>
        <v>2</v>
      </c>
      <c r="N65">
        <f t="shared" si="13"/>
        <v>2</v>
      </c>
      <c r="O65">
        <v>2</v>
      </c>
    </row>
    <row r="66" spans="2:15" x14ac:dyDescent="0.2">
      <c r="B66" t="s">
        <v>32</v>
      </c>
      <c r="C66" t="s">
        <v>57</v>
      </c>
      <c r="D66">
        <f>COUNTIF(BlogsJanApril,"Trees")</f>
        <v>0</v>
      </c>
      <c r="E66">
        <f>COUNTIF(B17:W20,"Trees")</f>
        <v>2</v>
      </c>
      <c r="F66">
        <f>COUNTIF(BlogsSepDec,"Trees")</f>
        <v>1</v>
      </c>
      <c r="H66">
        <f t="shared" si="14"/>
        <v>3</v>
      </c>
      <c r="I66" s="61">
        <v>3</v>
      </c>
      <c r="J66">
        <f>COUNTIF(ButtonsJanApril,"Trees")</f>
        <v>0</v>
      </c>
      <c r="K66">
        <f>COUNTIF(ButtonsMayAug,"Trees")</f>
        <v>1</v>
      </c>
      <c r="L66">
        <f>COUNTIF(ButtonsOctDec,"Trees")</f>
        <v>1</v>
      </c>
      <c r="N66">
        <f t="shared" si="13"/>
        <v>2</v>
      </c>
      <c r="O66">
        <v>2</v>
      </c>
    </row>
    <row r="67" spans="2:15" x14ac:dyDescent="0.2">
      <c r="B67" t="s">
        <v>37</v>
      </c>
      <c r="C67" t="str">
        <f t="shared" si="12"/>
        <v>Electrical</v>
      </c>
      <c r="D67">
        <f>COUNTIF(BlogsJanApril,"Electrical")</f>
        <v>1</v>
      </c>
      <c r="E67">
        <f>COUNTIF(B17:X20,"Electrical")</f>
        <v>1</v>
      </c>
      <c r="F67">
        <f>COUNTIF(BlogsSepDec,"Electrical")</f>
        <v>1</v>
      </c>
      <c r="H67">
        <f t="shared" si="14"/>
        <v>3</v>
      </c>
      <c r="I67" s="61">
        <v>3</v>
      </c>
      <c r="J67">
        <f>COUNTIF(ButtonsJanApril,"Electrical")</f>
        <v>1</v>
      </c>
      <c r="K67">
        <f>COUNTIF(ButtonsMayAug,"Electrical")</f>
        <v>0</v>
      </c>
      <c r="L67">
        <f>COUNTIF(ButtonsOctDec,"Electrical")</f>
        <v>1</v>
      </c>
      <c r="N67">
        <f t="shared" si="13"/>
        <v>2</v>
      </c>
      <c r="O67">
        <v>2</v>
      </c>
    </row>
    <row r="68" spans="2:15" x14ac:dyDescent="0.2">
      <c r="B68" t="s">
        <v>41</v>
      </c>
      <c r="C68" t="s">
        <v>61</v>
      </c>
      <c r="D68">
        <f>COUNTIF(BlogsJanApril,"Tyres")</f>
        <v>0</v>
      </c>
      <c r="E68">
        <f>COUNTIF(B17:W20,"Tyres")</f>
        <v>1</v>
      </c>
      <c r="F68">
        <f>COUNTIF(BlogsSepDec,"Tyres")</f>
        <v>1</v>
      </c>
      <c r="H68">
        <f t="shared" si="14"/>
        <v>2</v>
      </c>
      <c r="I68" s="61">
        <v>2</v>
      </c>
      <c r="J68">
        <f>COUNTIF(ButtonsJanApril,"Tyres")</f>
        <v>1</v>
      </c>
      <c r="K68">
        <f>COUNTIF(ButtonsMayAug,"Tyres")</f>
        <v>0</v>
      </c>
      <c r="L68">
        <f>COUNTIF(ButtonsOctDec,"Tyres")</f>
        <v>1</v>
      </c>
      <c r="N68">
        <f t="shared" si="13"/>
        <v>2</v>
      </c>
      <c r="O68">
        <v>2</v>
      </c>
    </row>
    <row r="69" spans="2:15" ht="31" customHeight="1" x14ac:dyDescent="0.2">
      <c r="B69" t="s">
        <v>100</v>
      </c>
      <c r="C69" t="s">
        <v>54</v>
      </c>
      <c r="D69">
        <f>COUNTIF(BlogsJanApril,"Hazmat")</f>
        <v>0</v>
      </c>
      <c r="E69">
        <f>COUNTIF(B18:W21,"Hazmat")</f>
        <v>1</v>
      </c>
      <c r="F69">
        <f>COUNTIF(BlogsSepDec,"Hazmat")</f>
        <v>1</v>
      </c>
      <c r="H69">
        <f t="shared" si="14"/>
        <v>2</v>
      </c>
      <c r="I69" s="61">
        <v>2</v>
      </c>
      <c r="J69">
        <f>COUNTIF(ButtonsJanApril,"Hazmat")</f>
        <v>1</v>
      </c>
      <c r="K69">
        <f>COUNTIF(ButtonsMayAug,"Hazmat")</f>
        <v>0</v>
      </c>
      <c r="L69">
        <f>COUNTIF(ButtonsOctDec,"Hazmat")</f>
        <v>1</v>
      </c>
      <c r="N69">
        <f t="shared" si="13"/>
        <v>2</v>
      </c>
      <c r="O69">
        <v>2</v>
      </c>
    </row>
    <row r="70" spans="2:15" x14ac:dyDescent="0.2">
      <c r="B70" t="s">
        <v>44</v>
      </c>
      <c r="C70" t="s">
        <v>62</v>
      </c>
      <c r="D70">
        <f>COUNTIF(BlogsJanApril,"Scratch &amp; D")</f>
        <v>1</v>
      </c>
      <c r="E70">
        <f>COUNTIF(B17:X20,"Scratch &amp; D")</f>
        <v>1</v>
      </c>
      <c r="F70">
        <f>COUNTIF(BlogsSepDec,"Scratch &amp; D")</f>
        <v>0</v>
      </c>
      <c r="H70">
        <f t="shared" si="14"/>
        <v>2</v>
      </c>
      <c r="I70" s="61">
        <v>2</v>
      </c>
      <c r="J70">
        <f>COUNTIF(ButtonsJanApril,"Scratch &amp; D")</f>
        <v>0</v>
      </c>
      <c r="K70">
        <f>COUNTIF(ButtonsMayAug,"Scratch &amp; D")</f>
        <v>1</v>
      </c>
      <c r="L70">
        <f>COUNTIF(ButtonsOctDec,"Scratch &amp; D")</f>
        <v>1</v>
      </c>
      <c r="N70">
        <f t="shared" si="13"/>
        <v>2</v>
      </c>
      <c r="O70">
        <v>2</v>
      </c>
    </row>
    <row r="71" spans="2:15" x14ac:dyDescent="0.2">
      <c r="B71" t="s">
        <v>101</v>
      </c>
      <c r="C71" t="s">
        <v>73</v>
      </c>
      <c r="D71">
        <f>COUNTIF(BlogsJanApril,"Bathrooms")</f>
        <v>1</v>
      </c>
      <c r="E71">
        <f>COUNTIF(B17:X20,"Bathrooms")</f>
        <v>1</v>
      </c>
      <c r="F71">
        <f>COUNTIF(BlogsSepDec,"Bathrooms")</f>
        <v>0</v>
      </c>
      <c r="H71">
        <f t="shared" si="14"/>
        <v>2</v>
      </c>
      <c r="I71" s="61">
        <v>2</v>
      </c>
      <c r="J71">
        <f>COUNTIF(ButtonsJanApril,"Bathrooms")</f>
        <v>2</v>
      </c>
      <c r="K71">
        <f>COUNTIF(ButtonsMayAug,"Bathrooms")</f>
        <v>0</v>
      </c>
      <c r="L71">
        <f>COUNTIF(ButtonsOctDec,"Bathrooms")</f>
        <v>0</v>
      </c>
      <c r="N71">
        <f t="shared" si="13"/>
        <v>2</v>
      </c>
      <c r="O71">
        <v>2</v>
      </c>
    </row>
    <row r="72" spans="2:15" x14ac:dyDescent="0.2">
      <c r="B72" t="s">
        <v>27</v>
      </c>
      <c r="C72" t="str">
        <f t="shared" si="12"/>
        <v>Energy</v>
      </c>
      <c r="D72">
        <f>COUNTIF(BlogsJanApril,"Energy")</f>
        <v>1</v>
      </c>
      <c r="E72">
        <f>COUNTIF(B17:X20,"Energy")</f>
        <v>1</v>
      </c>
      <c r="F72">
        <f>COUNTIF(BlogsSepDec,"Energy")</f>
        <v>0</v>
      </c>
      <c r="H72">
        <f t="shared" si="14"/>
        <v>2</v>
      </c>
      <c r="I72" s="61">
        <v>2</v>
      </c>
      <c r="J72">
        <f>COUNTIF(ButtonsJanApril,"Energy")</f>
        <v>1</v>
      </c>
      <c r="K72">
        <f>COUNTIF(ButtonsMayAug,"Energy")</f>
        <v>1</v>
      </c>
      <c r="L72">
        <f>COUNTIF(ButtonsOctDec,"Energy")</f>
        <v>0</v>
      </c>
      <c r="N72">
        <f t="shared" si="13"/>
        <v>2</v>
      </c>
      <c r="O72">
        <v>2</v>
      </c>
    </row>
    <row r="73" spans="2:15" x14ac:dyDescent="0.2">
      <c r="B73" t="s">
        <v>72</v>
      </c>
      <c r="C73" t="str">
        <f t="shared" si="12"/>
        <v>Roofing</v>
      </c>
      <c r="D73">
        <f>COUNTIF(BlogsJanApril,"Roofing")</f>
        <v>1</v>
      </c>
      <c r="E73">
        <f>COUNTIF(B17:X20,"Roofing")</f>
        <v>1</v>
      </c>
      <c r="F73">
        <f>COUNTIF(BlogsSepDec,"Roofing")</f>
        <v>0</v>
      </c>
      <c r="H73">
        <f t="shared" si="14"/>
        <v>2</v>
      </c>
      <c r="I73" s="61">
        <v>2</v>
      </c>
      <c r="J73">
        <f>COUNTIF(ButtonsJanApril,"Roofing")</f>
        <v>1</v>
      </c>
      <c r="K73">
        <f>COUNTIF(ButtonsMayAug,"Roofing")</f>
        <v>1</v>
      </c>
      <c r="L73">
        <f>COUNTIF(ButtonsOctDec,"Roofing")</f>
        <v>0</v>
      </c>
      <c r="N73">
        <f t="shared" si="13"/>
        <v>2</v>
      </c>
      <c r="O73">
        <v>2</v>
      </c>
    </row>
    <row r="74" spans="2:15" x14ac:dyDescent="0.2">
      <c r="B74" t="s">
        <v>43</v>
      </c>
      <c r="C74" t="str">
        <f t="shared" si="12"/>
        <v>Plumbing</v>
      </c>
      <c r="D74">
        <f>COUNTIF(BlogsJanApril,"Plumbing")</f>
        <v>1</v>
      </c>
      <c r="E74">
        <f>COUNTIF(B17:X20,"Plumbing")</f>
        <v>1</v>
      </c>
      <c r="F74">
        <f>COUNTIF(BlogsSepDec,"Plumbing")</f>
        <v>0</v>
      </c>
      <c r="H74">
        <f t="shared" si="14"/>
        <v>2</v>
      </c>
      <c r="I74" s="61">
        <v>2</v>
      </c>
      <c r="J74">
        <f>COUNTIF(ButtonsJanApril,"Plumbing")</f>
        <v>1</v>
      </c>
      <c r="K74">
        <f>COUNTIF(ButtonsMayAug,"Plumbing")</f>
        <v>1</v>
      </c>
      <c r="L74">
        <f>COUNTIF(ButtonsOctDec,"Plumbing")</f>
        <v>0</v>
      </c>
      <c r="N74">
        <f t="shared" si="13"/>
        <v>2</v>
      </c>
      <c r="O74">
        <v>2</v>
      </c>
    </row>
    <row r="75" spans="2:15" x14ac:dyDescent="0.2">
      <c r="B75" t="s">
        <v>35</v>
      </c>
      <c r="C75" t="s">
        <v>53</v>
      </c>
      <c r="D75">
        <f>COUNTIF(BlogsJanApril,"Blind C")</f>
        <v>1</v>
      </c>
      <c r="E75">
        <f>COUNTIF(B17:X20,"Blind C")</f>
        <v>1</v>
      </c>
      <c r="F75">
        <f>COUNTIF(BlogsSepDec,"Blind C")</f>
        <v>0</v>
      </c>
      <c r="H75">
        <f t="shared" si="14"/>
        <v>2</v>
      </c>
      <c r="I75" s="61">
        <v>2</v>
      </c>
      <c r="J75">
        <f>COUNTIF(ButtonsJanApril,"Blind C")</f>
        <v>1</v>
      </c>
      <c r="K75">
        <f>COUNTIF(ButtonsMayAug,"Blind C")</f>
        <v>0</v>
      </c>
      <c r="L75">
        <f>COUNTIF(ButtonsOctDec,"Blind C")</f>
        <v>1</v>
      </c>
      <c r="N75">
        <f t="shared" si="13"/>
        <v>2</v>
      </c>
      <c r="O75">
        <v>2</v>
      </c>
    </row>
    <row r="76" spans="2:15" x14ac:dyDescent="0.2">
      <c r="B76" t="s">
        <v>90</v>
      </c>
      <c r="C76" t="str">
        <f t="shared" si="12"/>
        <v>Garage Doors</v>
      </c>
      <c r="D76">
        <f>COUNTIF(BlogsJanApril,"Garage Doors")</f>
        <v>1</v>
      </c>
      <c r="E76">
        <f>COUNTIF(B17:X20,"Garage Doors")</f>
        <v>1</v>
      </c>
      <c r="F76">
        <f>COUNTIF(BlogsSepDec,"Garage Doors")</f>
        <v>0</v>
      </c>
      <c r="H76">
        <f t="shared" si="14"/>
        <v>2</v>
      </c>
      <c r="I76" s="61">
        <v>2</v>
      </c>
      <c r="J76">
        <f>COUNTIF(ButtonsJanApril,"Garage Doors")</f>
        <v>1</v>
      </c>
      <c r="K76">
        <f>COUNTIF(ButtonsMayAug,"Garage Doors")</f>
        <v>0</v>
      </c>
      <c r="L76">
        <f>COUNTIF(ButtonsOctDec,"Garage Doors")</f>
        <v>1</v>
      </c>
      <c r="N76">
        <f t="shared" si="13"/>
        <v>2</v>
      </c>
      <c r="O76">
        <v>2</v>
      </c>
    </row>
    <row r="77" spans="2:15" x14ac:dyDescent="0.2">
      <c r="B77" t="s">
        <v>36</v>
      </c>
      <c r="C77" t="str">
        <f t="shared" si="12"/>
        <v>Conveyancing</v>
      </c>
      <c r="D77">
        <f>COUNTIF(BlogsJanApril,"Conveyancing")</f>
        <v>1</v>
      </c>
      <c r="E77">
        <f>COUNTIF(B17:X20,"Conveyancing")</f>
        <v>0</v>
      </c>
      <c r="F77">
        <f>COUNTIF(BlogsSepDec,"Conveyancing")</f>
        <v>1</v>
      </c>
      <c r="H77">
        <f t="shared" si="14"/>
        <v>2</v>
      </c>
      <c r="I77" s="61">
        <v>2</v>
      </c>
      <c r="J77">
        <f>COUNTIF(ButtonsJanApril,"Conveyancing")</f>
        <v>0</v>
      </c>
      <c r="K77">
        <f>COUNTIF(ButtonsMayAug,"Conveyancing")</f>
        <v>1</v>
      </c>
      <c r="L77">
        <f>COUNTIF(ButtonsOctDec,"Conveyancing")</f>
        <v>1</v>
      </c>
      <c r="N77">
        <f t="shared" si="13"/>
        <v>2</v>
      </c>
      <c r="O77">
        <v>2</v>
      </c>
    </row>
    <row r="78" spans="2:15" x14ac:dyDescent="0.2">
      <c r="B78" t="s">
        <v>40</v>
      </c>
      <c r="C78" t="s">
        <v>60</v>
      </c>
      <c r="D78">
        <f>COUNTIF(BlogsJanApril,"Mechanics")</f>
        <v>0</v>
      </c>
      <c r="E78">
        <f>COUNTIF(B17:X20,"Mechanics")</f>
        <v>1</v>
      </c>
      <c r="F78">
        <f>COUNTIF(BlogsSepDec,"Mechanics")</f>
        <v>1</v>
      </c>
      <c r="H78">
        <f t="shared" si="14"/>
        <v>2</v>
      </c>
      <c r="I78" s="61">
        <v>2</v>
      </c>
      <c r="J78">
        <f>COUNTIF(ButtonsJanApril,"Mechanics")</f>
        <v>1</v>
      </c>
      <c r="K78">
        <f>COUNTIF(ButtonsMayAug,"Mechanics")</f>
        <v>0</v>
      </c>
      <c r="L78">
        <f>COUNTIF(ButtonsOctDec,"Mechanics")</f>
        <v>1</v>
      </c>
      <c r="N78">
        <f t="shared" si="13"/>
        <v>2</v>
      </c>
      <c r="O78">
        <v>2</v>
      </c>
    </row>
    <row r="79" spans="2:15" x14ac:dyDescent="0.2">
      <c r="B79" t="s">
        <v>38</v>
      </c>
      <c r="C79" t="s">
        <v>58</v>
      </c>
      <c r="D79">
        <f>COUNTIF(BlogsJanApril,"Financial")</f>
        <v>1</v>
      </c>
      <c r="E79">
        <f>COUNTIF(B17:X20,"Financial")</f>
        <v>1</v>
      </c>
      <c r="F79">
        <f>COUNTIF(BlogsSepDec,"Financial")</f>
        <v>0</v>
      </c>
      <c r="H79">
        <f t="shared" si="14"/>
        <v>2</v>
      </c>
      <c r="I79" s="61">
        <v>2</v>
      </c>
      <c r="J79">
        <f>COUNTIF(ButtonsJanApril,"Financial")</f>
        <v>0</v>
      </c>
      <c r="K79">
        <f>COUNTIF(ButtonsMayAug,"Financial")</f>
        <v>1</v>
      </c>
      <c r="L79">
        <f>COUNTIF(ButtonsOctDec,"Financial")</f>
        <v>1</v>
      </c>
      <c r="N79">
        <f t="shared" si="13"/>
        <v>2</v>
      </c>
      <c r="O79">
        <v>2</v>
      </c>
    </row>
    <row r="80" spans="2:15" x14ac:dyDescent="0.2">
      <c r="B80" t="s">
        <v>102</v>
      </c>
      <c r="C80" t="str">
        <f t="shared" si="12"/>
        <v>Glass</v>
      </c>
      <c r="D80">
        <f>COUNTIF(BlogsJanApril,"Glass")</f>
        <v>0</v>
      </c>
      <c r="E80">
        <f>COUNTIF(B17:X20,"Glass")</f>
        <v>1</v>
      </c>
      <c r="F80">
        <f>COUNTIF(BlogsSepDec,"Glass")</f>
        <v>1</v>
      </c>
      <c r="H80">
        <f t="shared" si="14"/>
        <v>2</v>
      </c>
      <c r="I80" s="68">
        <v>2</v>
      </c>
      <c r="J80">
        <f>COUNTIF(ButtonsJanApril,"Glass")</f>
        <v>1</v>
      </c>
      <c r="K80">
        <f>COUNTIF(ButtonsMayAug,"Glass")</f>
        <v>0</v>
      </c>
      <c r="L80">
        <f>COUNTIF(ButtonsOctDec,"Glass")</f>
        <v>1</v>
      </c>
      <c r="N80">
        <f t="shared" si="13"/>
        <v>2</v>
      </c>
      <c r="O80">
        <v>2</v>
      </c>
    </row>
    <row r="81" spans="2:17" x14ac:dyDescent="0.2">
      <c r="B81" t="s">
        <v>39</v>
      </c>
      <c r="C81" t="s">
        <v>59</v>
      </c>
      <c r="D81">
        <f>COUNTIF(BlogsJanApril,"Castles")</f>
        <v>1</v>
      </c>
      <c r="E81">
        <f>COUNTIF(B17:X20,"Castles")</f>
        <v>0</v>
      </c>
      <c r="F81">
        <f>COUNTIF(BlogsSepDec,"Castles")</f>
        <v>1</v>
      </c>
      <c r="H81">
        <f t="shared" si="14"/>
        <v>2</v>
      </c>
      <c r="I81" s="61">
        <v>2</v>
      </c>
      <c r="J81">
        <f>COUNTIF(ButtonsJanApril,"Castles")</f>
        <v>0</v>
      </c>
      <c r="K81">
        <f>COUNTIF(ButtonsMayAug,"Castles")</f>
        <v>1</v>
      </c>
      <c r="L81">
        <f>COUNTIF(ButtonsOctDec,"Castles")</f>
        <v>1</v>
      </c>
      <c r="N81">
        <f t="shared" si="13"/>
        <v>2</v>
      </c>
      <c r="O81">
        <v>2</v>
      </c>
    </row>
    <row r="82" spans="2:17" x14ac:dyDescent="0.2">
      <c r="B82" t="s">
        <v>103</v>
      </c>
      <c r="C82" t="str">
        <f t="shared" si="12"/>
        <v>Construction</v>
      </c>
      <c r="D82">
        <f>COUNTIF(BlogsJanApril,"Construction")</f>
        <v>1</v>
      </c>
      <c r="E82">
        <f>COUNTIF(B17:X20,"Construction")</f>
        <v>0</v>
      </c>
      <c r="F82">
        <f>COUNTIF(BlogsSepDec,"Construction")</f>
        <v>0</v>
      </c>
      <c r="H82">
        <f t="shared" si="14"/>
        <v>1</v>
      </c>
      <c r="I82" s="61">
        <v>1</v>
      </c>
      <c r="J82">
        <f>COUNTIF(ButtonsJanApril,"Construction")</f>
        <v>1</v>
      </c>
      <c r="K82">
        <f>COUNTIF(ButtonsMayAug,"Construction")</f>
        <v>1</v>
      </c>
      <c r="L82">
        <f>COUNTIF(ButtonsOctDec,"Construction")</f>
        <v>0</v>
      </c>
      <c r="N82">
        <f t="shared" si="13"/>
        <v>2</v>
      </c>
      <c r="O82">
        <v>2</v>
      </c>
    </row>
    <row r="83" spans="2:17" x14ac:dyDescent="0.2">
      <c r="B83" t="s">
        <v>92</v>
      </c>
      <c r="C83" t="str">
        <f t="shared" si="12"/>
        <v>Life Coaching</v>
      </c>
      <c r="D83">
        <f>COUNTIF(BlogsJanApril,"Life Coaching")</f>
        <v>0</v>
      </c>
      <c r="E83">
        <f>COUNTIF(B17:X20,"Life Coaching")</f>
        <v>1</v>
      </c>
      <c r="F83">
        <f>COUNTIF(BlogsSepDec,"Life Coaching")</f>
        <v>0</v>
      </c>
      <c r="H83">
        <f t="shared" si="14"/>
        <v>1</v>
      </c>
      <c r="I83" s="61">
        <v>1</v>
      </c>
      <c r="J83">
        <f>COUNTIF(ButtonsJanApril,"Life Coaching")</f>
        <v>1</v>
      </c>
      <c r="K83">
        <f>COUNTIF(ButtonsMayAug,"Life Coaching")</f>
        <v>1</v>
      </c>
      <c r="L83">
        <f>COUNTIF(ButtonsOctDec,"Life Coaching")</f>
        <v>0</v>
      </c>
      <c r="N83">
        <f t="shared" si="13"/>
        <v>2</v>
      </c>
      <c r="O83">
        <v>2</v>
      </c>
    </row>
    <row r="84" spans="2:17" x14ac:dyDescent="0.2">
      <c r="B84" t="s">
        <v>96</v>
      </c>
      <c r="C84" t="str">
        <f t="shared" si="12"/>
        <v>Carconnect</v>
      </c>
      <c r="D84">
        <f>COUNTIF(BlogsJanApril,"Carconnect")</f>
        <v>0</v>
      </c>
      <c r="E84">
        <f>COUNTIF(B17:X20,"Car Connect")</f>
        <v>0</v>
      </c>
      <c r="F84">
        <f>COUNTIF(BlogsSepDec,"Carconnect")</f>
        <v>1</v>
      </c>
      <c r="H84">
        <f>SUM(D84:F84)</f>
        <v>1</v>
      </c>
      <c r="I84" s="61">
        <v>1</v>
      </c>
      <c r="J84">
        <f>COUNTIF(ButtonsJanApril,"Carconnect")</f>
        <v>0</v>
      </c>
      <c r="K84">
        <f>COUNTIF(ButtonsMayAug,"Carconnect")</f>
        <v>1</v>
      </c>
      <c r="L84">
        <f>COUNTIF(ButtonsOctDec,"Carconnect")</f>
        <v>1</v>
      </c>
      <c r="N84">
        <f t="shared" si="13"/>
        <v>2</v>
      </c>
      <c r="O84">
        <v>2</v>
      </c>
    </row>
    <row r="85" spans="2:17" x14ac:dyDescent="0.2">
      <c r="B85" t="s">
        <v>94</v>
      </c>
      <c r="C85" t="str">
        <f t="shared" si="12"/>
        <v>Driving School</v>
      </c>
      <c r="D85">
        <f>COUNTIF(BlogsJanApril,"Driving School")</f>
        <v>0</v>
      </c>
      <c r="E85">
        <f>COUNTIF(B17:X20,"Driving School")</f>
        <v>0</v>
      </c>
      <c r="F85">
        <f>COUNTIF(BlogsSepDec,"Driving School")</f>
        <v>1</v>
      </c>
      <c r="H85">
        <f t="shared" ref="H85:H86" si="15">SUM(D85:F85)</f>
        <v>1</v>
      </c>
      <c r="I85" s="61">
        <v>1</v>
      </c>
      <c r="J85">
        <f>COUNTIF(ButtonsJanApril,"Driving School")</f>
        <v>0</v>
      </c>
      <c r="K85">
        <f>COUNTIF(ButtonsMayAug,"Driving School")</f>
        <v>1</v>
      </c>
      <c r="L85">
        <f>COUNTIF(ButtonsOctDec,"Driving School")</f>
        <v>1</v>
      </c>
      <c r="N85">
        <f t="shared" si="13"/>
        <v>2</v>
      </c>
      <c r="O85">
        <v>2</v>
      </c>
    </row>
    <row r="86" spans="2:17" x14ac:dyDescent="0.2">
      <c r="B86" t="s">
        <v>95</v>
      </c>
      <c r="C86" t="str">
        <f t="shared" si="12"/>
        <v>Healthcare</v>
      </c>
      <c r="D86">
        <f>COUNTIF(BlogsJanApril,"Healthcare")</f>
        <v>0</v>
      </c>
      <c r="E86">
        <f>COUNTIF(B17:X20,"Healthcare")</f>
        <v>0</v>
      </c>
      <c r="F86">
        <f>COUNTIF(BlogsSepDec,"Healthcare")</f>
        <v>1</v>
      </c>
      <c r="H86">
        <f t="shared" si="15"/>
        <v>1</v>
      </c>
      <c r="I86" s="61">
        <v>1</v>
      </c>
      <c r="J86">
        <f>COUNTIF(ButtonsJanApril,"Healthcare")</f>
        <v>0</v>
      </c>
      <c r="K86">
        <f>COUNTIF(ButtonsMayAug,"Healthcare")</f>
        <v>1</v>
      </c>
      <c r="L86">
        <f>COUNTIF(ButtonsOctDec,"Healthcare")</f>
        <v>1</v>
      </c>
      <c r="N86">
        <f t="shared" si="13"/>
        <v>2</v>
      </c>
      <c r="O86">
        <v>2</v>
      </c>
    </row>
    <row r="87" spans="2:17" x14ac:dyDescent="0.2">
      <c r="B87" t="s">
        <v>76</v>
      </c>
      <c r="C87" t="str">
        <f t="shared" si="12"/>
        <v>Legal</v>
      </c>
      <c r="D87">
        <f>COUNTIF(BlogsJanApril,"Legal")</f>
        <v>0</v>
      </c>
      <c r="E87">
        <f>COUNTIF(B17:X20,"Legal")</f>
        <v>1</v>
      </c>
      <c r="F87">
        <f>COUNTIF(BlogsSepDec,"Legal")</f>
        <v>0</v>
      </c>
      <c r="H87">
        <f t="shared" ref="H87:H89" si="16">SUM(D87:F87)</f>
        <v>1</v>
      </c>
      <c r="I87" s="61">
        <v>1</v>
      </c>
      <c r="J87">
        <f>COUNTIF(ButtonsJanApril,"Legal")</f>
        <v>1</v>
      </c>
      <c r="K87">
        <f>COUNTIF(ButtonsMayAug,"Legal")</f>
        <v>1</v>
      </c>
      <c r="L87">
        <f>COUNTIF(ButtonsOctDec,"Legal")</f>
        <v>0</v>
      </c>
      <c r="N87">
        <f t="shared" si="13"/>
        <v>2</v>
      </c>
      <c r="O87">
        <v>2</v>
      </c>
    </row>
    <row r="88" spans="2:17" x14ac:dyDescent="0.2">
      <c r="B88" t="s">
        <v>104</v>
      </c>
      <c r="C88" t="s">
        <v>93</v>
      </c>
      <c r="D88">
        <f>COUNTIF(BlogsJanApril,"Massage")</f>
        <v>0</v>
      </c>
      <c r="E88">
        <f>COUNTIF(B17:X20,"Massage")</f>
        <v>1</v>
      </c>
      <c r="F88">
        <f>COUNTIF(BlogsSepDec,"Massage")</f>
        <v>0</v>
      </c>
      <c r="H88">
        <f t="shared" si="16"/>
        <v>1</v>
      </c>
      <c r="I88" s="61">
        <v>1</v>
      </c>
      <c r="J88">
        <f>COUNTIF(ButtonsJanApril,"Massage")</f>
        <v>0</v>
      </c>
      <c r="K88">
        <f>COUNTIF(ButtonsMayAug,"Massage")</f>
        <v>1</v>
      </c>
      <c r="L88">
        <f>COUNTIF(ButtonsOctDec,"Massage")</f>
        <v>1</v>
      </c>
      <c r="N88">
        <f t="shared" si="13"/>
        <v>2</v>
      </c>
      <c r="O88">
        <v>2</v>
      </c>
    </row>
    <row r="89" spans="2:17" x14ac:dyDescent="0.2">
      <c r="B89" t="s">
        <v>98</v>
      </c>
      <c r="C89" t="str">
        <f t="shared" si="12"/>
        <v>Removals</v>
      </c>
      <c r="D89">
        <f>COUNTIF(BlogsJanApril,"Removals")</f>
        <v>1</v>
      </c>
      <c r="E89">
        <f>COUNTIF(B18:X21,"REmovals")</f>
        <v>0</v>
      </c>
      <c r="F89">
        <f>COUNTIF(BlogsSepDec,"Removals")</f>
        <v>0</v>
      </c>
      <c r="H89">
        <f t="shared" si="16"/>
        <v>1</v>
      </c>
      <c r="I89">
        <v>1</v>
      </c>
      <c r="J89">
        <f>COUNTIF(ButtonsJanApril,"Removals")</f>
        <v>1</v>
      </c>
      <c r="K89">
        <f>COUNTIF(ButtonsMayAug,"Removals")</f>
        <v>0</v>
      </c>
      <c r="L89">
        <f>COUNTIF(ButtonsOctDec,"Removals")</f>
        <v>1</v>
      </c>
      <c r="N89">
        <f t="shared" si="13"/>
        <v>2</v>
      </c>
      <c r="O89">
        <v>2</v>
      </c>
    </row>
    <row r="90" spans="2:17" x14ac:dyDescent="0.2">
      <c r="D90">
        <f>SUM(D45:D89)</f>
        <v>66</v>
      </c>
      <c r="E90">
        <f t="shared" ref="E90:F90" si="17">SUM(E45:E89)</f>
        <v>67</v>
      </c>
      <c r="F90">
        <f t="shared" si="17"/>
        <v>63</v>
      </c>
      <c r="H90">
        <f>SUM(H45:H89)</f>
        <v>196</v>
      </c>
      <c r="N90">
        <f>SUM(N45:N89)</f>
        <v>287</v>
      </c>
      <c r="O90">
        <f>SUM(O45:O89)</f>
        <v>287</v>
      </c>
    </row>
    <row r="91" spans="2:17" ht="17" thickBot="1" x14ac:dyDescent="0.25">
      <c r="H91">
        <f>I90-H90</f>
        <v>-196</v>
      </c>
      <c r="I91" t="s">
        <v>81</v>
      </c>
    </row>
    <row r="92" spans="2:17" ht="17" thickBot="1" x14ac:dyDescent="0.25">
      <c r="H92" s="15">
        <f>SUM(H90:H91)</f>
        <v>0</v>
      </c>
      <c r="O92">
        <v>12</v>
      </c>
      <c r="P92" t="s">
        <v>108</v>
      </c>
      <c r="Q92" t="s">
        <v>111</v>
      </c>
    </row>
  </sheetData>
  <mergeCells count="39">
    <mergeCell ref="T29:X29"/>
    <mergeCell ref="H29:K29"/>
    <mergeCell ref="T1:X1"/>
    <mergeCell ref="N1:Q1"/>
    <mergeCell ref="S31:S34"/>
    <mergeCell ref="J43:O43"/>
    <mergeCell ref="D43:I43"/>
    <mergeCell ref="B1:E1"/>
    <mergeCell ref="B29:F29"/>
    <mergeCell ref="T15:W15"/>
    <mergeCell ref="N15:R15"/>
    <mergeCell ref="Q44:V50"/>
    <mergeCell ref="G36:G41"/>
    <mergeCell ref="M36:M41"/>
    <mergeCell ref="M31:M34"/>
    <mergeCell ref="G8:G13"/>
    <mergeCell ref="M8:M13"/>
    <mergeCell ref="M22:M27"/>
    <mergeCell ref="G22:G27"/>
    <mergeCell ref="N29:Q29"/>
    <mergeCell ref="S3:S6"/>
    <mergeCell ref="S17:S20"/>
    <mergeCell ref="S8:S13"/>
    <mergeCell ref="S22:S27"/>
    <mergeCell ref="S36:S41"/>
    <mergeCell ref="G3:G6"/>
    <mergeCell ref="M3:M6"/>
    <mergeCell ref="M17:M20"/>
    <mergeCell ref="G17:G20"/>
    <mergeCell ref="H1:K1"/>
    <mergeCell ref="A31:A34"/>
    <mergeCell ref="A36:A41"/>
    <mergeCell ref="H15:K15"/>
    <mergeCell ref="A17:A20"/>
    <mergeCell ref="A22:A27"/>
    <mergeCell ref="B15:E15"/>
    <mergeCell ref="G31:G34"/>
    <mergeCell ref="A3:A6"/>
    <mergeCell ref="A8:A13"/>
  </mergeCells>
  <conditionalFormatting sqref="I45:I49">
    <cfRule type="cellIs" dxfId="172" priority="112" operator="equal">
      <formula>$H$45</formula>
    </cfRule>
  </conditionalFormatting>
  <conditionalFormatting sqref="I46:I49">
    <cfRule type="cellIs" dxfId="171" priority="28" operator="equal">
      <formula>$H$46</formula>
    </cfRule>
    <cfRule type="cellIs" dxfId="170" priority="34" operator="equal">
      <formula>$H$46</formula>
    </cfRule>
  </conditionalFormatting>
  <conditionalFormatting sqref="I50">
    <cfRule type="cellIs" dxfId="164" priority="24" operator="equal">
      <formula>$H$50</formula>
    </cfRule>
    <cfRule type="cellIs" dxfId="163" priority="105" operator="equal">
      <formula>$H$50</formula>
    </cfRule>
  </conditionalFormatting>
  <conditionalFormatting sqref="I51">
    <cfRule type="cellIs" dxfId="162" priority="23" operator="equal">
      <formula>$H$51</formula>
    </cfRule>
    <cfRule type="cellIs" dxfId="161" priority="104" operator="equal">
      <formula>$H$51</formula>
    </cfRule>
  </conditionalFormatting>
  <conditionalFormatting sqref="I52">
    <cfRule type="cellIs" dxfId="160" priority="22" operator="equal">
      <formula>$H$52</formula>
    </cfRule>
    <cfRule type="cellIs" dxfId="159" priority="103" operator="equal">
      <formula>$H$52</formula>
    </cfRule>
  </conditionalFormatting>
  <conditionalFormatting sqref="I53">
    <cfRule type="cellIs" dxfId="158" priority="21" operator="equal">
      <formula>$H$53</formula>
    </cfRule>
    <cfRule type="cellIs" dxfId="157" priority="102" operator="equal">
      <formula>$H$53</formula>
    </cfRule>
  </conditionalFormatting>
  <conditionalFormatting sqref="I54">
    <cfRule type="cellIs" dxfId="156" priority="20" operator="equal">
      <formula>$H$54</formula>
    </cfRule>
    <cfRule type="cellIs" dxfId="155" priority="101" operator="equal">
      <formula>$H$54</formula>
    </cfRule>
  </conditionalFormatting>
  <conditionalFormatting sqref="I55">
    <cfRule type="cellIs" dxfId="154" priority="19" operator="equal">
      <formula>$H$55</formula>
    </cfRule>
    <cfRule type="cellIs" dxfId="153" priority="100" operator="equal">
      <formula>$H$55</formula>
    </cfRule>
  </conditionalFormatting>
  <conditionalFormatting sqref="I56">
    <cfRule type="cellIs" dxfId="152" priority="18" operator="equal">
      <formula>$H$56</formula>
    </cfRule>
    <cfRule type="cellIs" dxfId="151" priority="99" operator="equal">
      <formula>$H$56</formula>
    </cfRule>
  </conditionalFormatting>
  <conditionalFormatting sqref="I57">
    <cfRule type="cellIs" dxfId="150" priority="17" operator="equal">
      <formula>$H$57</formula>
    </cfRule>
    <cfRule type="cellIs" dxfId="149" priority="98" operator="equal">
      <formula>$H$57</formula>
    </cfRule>
  </conditionalFormatting>
  <conditionalFormatting sqref="I58">
    <cfRule type="cellIs" dxfId="148" priority="16" operator="equal">
      <formula>$H$58</formula>
    </cfRule>
    <cfRule type="cellIs" dxfId="147" priority="97" operator="equal">
      <formula>$H$58</formula>
    </cfRule>
  </conditionalFormatting>
  <conditionalFormatting sqref="I59">
    <cfRule type="cellIs" dxfId="146" priority="15" operator="equal">
      <formula>$H$59</formula>
    </cfRule>
    <cfRule type="cellIs" dxfId="145" priority="96" operator="equal">
      <formula>$H$59</formula>
    </cfRule>
  </conditionalFormatting>
  <conditionalFormatting sqref="I60">
    <cfRule type="cellIs" dxfId="144" priority="95" operator="equal">
      <formula>$H$60</formula>
    </cfRule>
  </conditionalFormatting>
  <conditionalFormatting sqref="I61">
    <cfRule type="cellIs" dxfId="143" priority="14" operator="equal">
      <formula>$H$61</formula>
    </cfRule>
    <cfRule type="cellIs" dxfId="142" priority="94" operator="equal">
      <formula>$H$61</formula>
    </cfRule>
  </conditionalFormatting>
  <conditionalFormatting sqref="I62">
    <cfRule type="cellIs" dxfId="141" priority="93" operator="equal">
      <formula>$H$62</formula>
    </cfRule>
  </conditionalFormatting>
  <conditionalFormatting sqref="I63">
    <cfRule type="cellIs" dxfId="140" priority="92" operator="equal">
      <formula>$H$63</formula>
    </cfRule>
  </conditionalFormatting>
  <conditionalFormatting sqref="I64">
    <cfRule type="cellIs" dxfId="139" priority="91" operator="equal">
      <formula>$H$64</formula>
    </cfRule>
  </conditionalFormatting>
  <conditionalFormatting sqref="I65">
    <cfRule type="cellIs" dxfId="138" priority="90" operator="equal">
      <formula>$H$65</formula>
    </cfRule>
  </conditionalFormatting>
  <conditionalFormatting sqref="I66">
    <cfRule type="cellIs" dxfId="137" priority="89" operator="equal">
      <formula>$H$66</formula>
    </cfRule>
  </conditionalFormatting>
  <conditionalFormatting sqref="I67">
    <cfRule type="cellIs" dxfId="136" priority="88" operator="equal">
      <formula>$H$67</formula>
    </cfRule>
  </conditionalFormatting>
  <conditionalFormatting sqref="I68">
    <cfRule type="cellIs" dxfId="135" priority="87" operator="equal">
      <formula>$H$68</formula>
    </cfRule>
  </conditionalFormatting>
  <conditionalFormatting sqref="I69">
    <cfRule type="cellIs" dxfId="134" priority="86" operator="equal">
      <formula>$H$69</formula>
    </cfRule>
  </conditionalFormatting>
  <conditionalFormatting sqref="I70">
    <cfRule type="cellIs" dxfId="133" priority="85" operator="equal">
      <formula>$H$70</formula>
    </cfRule>
  </conditionalFormatting>
  <conditionalFormatting sqref="I71">
    <cfRule type="cellIs" dxfId="132" priority="84" operator="equal">
      <formula>$H$71</formula>
    </cfRule>
  </conditionalFormatting>
  <conditionalFormatting sqref="I72">
    <cfRule type="cellIs" dxfId="131" priority="83" operator="equal">
      <formula>$H$72</formula>
    </cfRule>
  </conditionalFormatting>
  <conditionalFormatting sqref="I73">
    <cfRule type="cellIs" dxfId="130" priority="82" operator="equal">
      <formula>$H$73</formula>
    </cfRule>
  </conditionalFormatting>
  <conditionalFormatting sqref="I74">
    <cfRule type="cellIs" dxfId="129" priority="81" operator="equal">
      <formula>$H$74</formula>
    </cfRule>
  </conditionalFormatting>
  <conditionalFormatting sqref="I75">
    <cfRule type="cellIs" dxfId="128" priority="80" operator="equal">
      <formula>$H$75</formula>
    </cfRule>
  </conditionalFormatting>
  <conditionalFormatting sqref="I76">
    <cfRule type="cellIs" dxfId="127" priority="79" operator="equal">
      <formula>$H$76</formula>
    </cfRule>
  </conditionalFormatting>
  <conditionalFormatting sqref="I77">
    <cfRule type="cellIs" dxfId="126" priority="78" operator="equal">
      <formula>$H$77</formula>
    </cfRule>
  </conditionalFormatting>
  <conditionalFormatting sqref="I78">
    <cfRule type="cellIs" dxfId="125" priority="77" operator="equal">
      <formula>$H$78</formula>
    </cfRule>
  </conditionalFormatting>
  <conditionalFormatting sqref="I79:I80">
    <cfRule type="cellIs" dxfId="124" priority="76" operator="equal">
      <formula>$H$79</formula>
    </cfRule>
  </conditionalFormatting>
  <conditionalFormatting sqref="I81">
    <cfRule type="cellIs" dxfId="123" priority="75" operator="equal">
      <formula>$H$81</formula>
    </cfRule>
  </conditionalFormatting>
  <conditionalFormatting sqref="I82">
    <cfRule type="cellIs" dxfId="122" priority="74" operator="equal">
      <formula>$H$82</formula>
    </cfRule>
  </conditionalFormatting>
  <conditionalFormatting sqref="I83">
    <cfRule type="cellIs" dxfId="121" priority="31" operator="equal">
      <formula>$H$83</formula>
    </cfRule>
  </conditionalFormatting>
  <conditionalFormatting sqref="I84:I88">
    <cfRule type="cellIs" dxfId="120" priority="73" operator="equal">
      <formula>$H$84</formula>
    </cfRule>
  </conditionalFormatting>
  <conditionalFormatting sqref="O45 O47:O56 O58:O79 O81:O82 O84 O87">
    <cfRule type="cellIs" dxfId="119" priority="30" operator="equal">
      <formula>$N$45</formula>
    </cfRule>
  </conditionalFormatting>
  <conditionalFormatting sqref="O47:O56 O58:O79 O81:O82 O84 O87">
    <cfRule type="cellIs" dxfId="118" priority="71" operator="equal">
      <formula>$N$46</formula>
    </cfRule>
  </conditionalFormatting>
  <conditionalFormatting sqref="O47:O56 O58:O79 O81:O82 O84 O87">
    <cfRule type="cellIs" dxfId="117" priority="70" operator="equal">
      <formula>$N$47</formula>
    </cfRule>
  </conditionalFormatting>
  <conditionalFormatting sqref="O48:O56 O58:O79 O81:O82 O84 O87">
    <cfRule type="cellIs" dxfId="116" priority="69" operator="equal">
      <formula>$N$48</formula>
    </cfRule>
  </conditionalFormatting>
  <conditionalFormatting sqref="O49">
    <cfRule type="cellIs" dxfId="115" priority="68" operator="equal">
      <formula>$N$49</formula>
    </cfRule>
  </conditionalFormatting>
  <conditionalFormatting sqref="O50">
    <cfRule type="cellIs" dxfId="114" priority="67" operator="equal">
      <formula>$N$50</formula>
    </cfRule>
  </conditionalFormatting>
  <conditionalFormatting sqref="O51">
    <cfRule type="cellIs" dxfId="113" priority="66" operator="equal">
      <formula>$N$51</formula>
    </cfRule>
  </conditionalFormatting>
  <conditionalFormatting sqref="O52">
    <cfRule type="cellIs" dxfId="112" priority="65" operator="equal">
      <formula>$N$52</formula>
    </cfRule>
  </conditionalFormatting>
  <conditionalFormatting sqref="O53">
    <cfRule type="cellIs" dxfId="111" priority="64" operator="equal">
      <formula>$N$53</formula>
    </cfRule>
  </conditionalFormatting>
  <conditionalFormatting sqref="O54">
    <cfRule type="cellIs" dxfId="110" priority="63" operator="equal">
      <formula>$N$54</formula>
    </cfRule>
  </conditionalFormatting>
  <conditionalFormatting sqref="O55">
    <cfRule type="cellIs" dxfId="109" priority="62" operator="equal">
      <formula>$N$55</formula>
    </cfRule>
  </conditionalFormatting>
  <conditionalFormatting sqref="O56 O58:O79 O81:O82 O84 O87">
    <cfRule type="cellIs" dxfId="108" priority="61" operator="equal">
      <formula>$N$56</formula>
    </cfRule>
  </conditionalFormatting>
  <conditionalFormatting sqref="O58">
    <cfRule type="cellIs" dxfId="106" priority="59" operator="equal">
      <formula>$N$58</formula>
    </cfRule>
  </conditionalFormatting>
  <conditionalFormatting sqref="O59">
    <cfRule type="cellIs" dxfId="105" priority="58" operator="equal">
      <formula>$N$59</formula>
    </cfRule>
  </conditionalFormatting>
  <conditionalFormatting sqref="O60">
    <cfRule type="cellIs" dxfId="104" priority="57" operator="equal">
      <formula>$N$60</formula>
    </cfRule>
  </conditionalFormatting>
  <conditionalFormatting sqref="O61">
    <cfRule type="cellIs" dxfId="103" priority="56" operator="equal">
      <formula>$N$61</formula>
    </cfRule>
  </conditionalFormatting>
  <conditionalFormatting sqref="O62">
    <cfRule type="cellIs" dxfId="102" priority="55" operator="equal">
      <formula>$N$62</formula>
    </cfRule>
  </conditionalFormatting>
  <conditionalFormatting sqref="O63">
    <cfRule type="cellIs" dxfId="101" priority="54" operator="equal">
      <formula>$N$63</formula>
    </cfRule>
  </conditionalFormatting>
  <conditionalFormatting sqref="O64">
    <cfRule type="cellIs" dxfId="100" priority="53" operator="equal">
      <formula>$N$64</formula>
    </cfRule>
  </conditionalFormatting>
  <conditionalFormatting sqref="O65">
    <cfRule type="cellIs" dxfId="99" priority="52" operator="equal">
      <formula>$N$65</formula>
    </cfRule>
  </conditionalFormatting>
  <conditionalFormatting sqref="O66">
    <cfRule type="cellIs" dxfId="98" priority="51" operator="equal">
      <formula>$N$66</formula>
    </cfRule>
  </conditionalFormatting>
  <conditionalFormatting sqref="O67">
    <cfRule type="cellIs" dxfId="97" priority="50" operator="equal">
      <formula>$N$67</formula>
    </cfRule>
  </conditionalFormatting>
  <conditionalFormatting sqref="O68">
    <cfRule type="cellIs" dxfId="96" priority="49" operator="equal">
      <formula>$N$68</formula>
    </cfRule>
  </conditionalFormatting>
  <conditionalFormatting sqref="O69">
    <cfRule type="cellIs" dxfId="95" priority="48" operator="equal">
      <formula>$N$69</formula>
    </cfRule>
  </conditionalFormatting>
  <conditionalFormatting sqref="O70">
    <cfRule type="cellIs" dxfId="94" priority="47" operator="equal">
      <formula>$N$70</formula>
    </cfRule>
  </conditionalFormatting>
  <conditionalFormatting sqref="O71">
    <cfRule type="cellIs" dxfId="93" priority="46" operator="equal">
      <formula>$N$71</formula>
    </cfRule>
  </conditionalFormatting>
  <conditionalFormatting sqref="O72">
    <cfRule type="cellIs" dxfId="92" priority="45" operator="equal">
      <formula>$N$72</formula>
    </cfRule>
  </conditionalFormatting>
  <conditionalFormatting sqref="O73">
    <cfRule type="cellIs" dxfId="91" priority="44" operator="equal">
      <formula>$N$73</formula>
    </cfRule>
  </conditionalFormatting>
  <conditionalFormatting sqref="O74">
    <cfRule type="cellIs" dxfId="90" priority="43" operator="equal">
      <formula>$N$74</formula>
    </cfRule>
  </conditionalFormatting>
  <conditionalFormatting sqref="O75">
    <cfRule type="cellIs" dxfId="89" priority="42" operator="equal">
      <formula>$N$75</formula>
    </cfRule>
  </conditionalFormatting>
  <conditionalFormatting sqref="O76">
    <cfRule type="cellIs" dxfId="88" priority="41" operator="equal">
      <formula>$N$76</formula>
    </cfRule>
  </conditionalFormatting>
  <conditionalFormatting sqref="O77">
    <cfRule type="cellIs" dxfId="87" priority="40" operator="equal">
      <formula>$N$77</formula>
    </cfRule>
  </conditionalFormatting>
  <conditionalFormatting sqref="O78">
    <cfRule type="cellIs" dxfId="86" priority="39" operator="equal">
      <formula>$N$78</formula>
    </cfRule>
  </conditionalFormatting>
  <conditionalFormatting sqref="O79 O81">
    <cfRule type="cellIs" dxfId="85" priority="38" operator="equal">
      <formula>$N$79</formula>
    </cfRule>
  </conditionalFormatting>
  <conditionalFormatting sqref="O81">
    <cfRule type="cellIs" dxfId="84" priority="37" operator="equal">
      <formula>$N$81</formula>
    </cfRule>
  </conditionalFormatting>
  <conditionalFormatting sqref="O82">
    <cfRule type="cellIs" dxfId="83" priority="36" operator="equal">
      <formula>$N$82</formula>
    </cfRule>
  </conditionalFormatting>
  <conditionalFormatting sqref="O84 O87">
    <cfRule type="cellIs" dxfId="82" priority="35" operator="equal">
      <formula>$N$84</formula>
    </cfRule>
  </conditionalFormatting>
  <conditionalFormatting sqref="I45">
    <cfRule type="cellIs" dxfId="81" priority="29" operator="equal">
      <formula>$H$45</formula>
    </cfRule>
  </conditionalFormatting>
  <conditionalFormatting sqref="I47">
    <cfRule type="cellIs" dxfId="80" priority="27" operator="equal">
      <formula>$H$47</formula>
    </cfRule>
  </conditionalFormatting>
  <conditionalFormatting sqref="I48">
    <cfRule type="cellIs" dxfId="79" priority="26" operator="equal">
      <formula>$H$48</formula>
    </cfRule>
  </conditionalFormatting>
  <conditionalFormatting sqref="I49">
    <cfRule type="cellIs" dxfId="78" priority="25" operator="equal">
      <formula>$H$49</formula>
    </cfRule>
  </conditionalFormatting>
  <conditionalFormatting sqref="I79">
    <cfRule type="cellIs" dxfId="77" priority="13" operator="equal">
      <formula>$H$79</formula>
    </cfRule>
  </conditionalFormatting>
  <conditionalFormatting sqref="I80">
    <cfRule type="cellIs" dxfId="76" priority="11" operator="equal">
      <formula>$H$80</formula>
    </cfRule>
    <cfRule type="cellIs" dxfId="75" priority="12" operator="equal">
      <formula>$H$80</formula>
    </cfRule>
  </conditionalFormatting>
  <conditionalFormatting sqref="I89">
    <cfRule type="cellIs" dxfId="74" priority="10" operator="equal">
      <formula>$H$89</formula>
    </cfRule>
  </conditionalFormatting>
  <conditionalFormatting sqref="O46">
    <cfRule type="cellIs" dxfId="72" priority="8" operator="equal">
      <formula>$N$46</formula>
    </cfRule>
  </conditionalFormatting>
  <conditionalFormatting sqref="O57">
    <cfRule type="cellIs" dxfId="71" priority="7" operator="equal">
      <formula>$N$57</formula>
    </cfRule>
  </conditionalFormatting>
  <conditionalFormatting sqref="O80">
    <cfRule type="cellIs" dxfId="70" priority="6" operator="equal">
      <formula>$N$80</formula>
    </cfRule>
  </conditionalFormatting>
  <conditionalFormatting sqref="O83">
    <cfRule type="cellIs" dxfId="69" priority="5" operator="equal">
      <formula>$N$83</formula>
    </cfRule>
  </conditionalFormatting>
  <conditionalFormatting sqref="O88">
    <cfRule type="cellIs" dxfId="68" priority="4" operator="equal">
      <formula>$N$88</formula>
    </cfRule>
  </conditionalFormatting>
  <conditionalFormatting sqref="O89">
    <cfRule type="cellIs" dxfId="67" priority="3" operator="equal">
      <formula>$N$89</formula>
    </cfRule>
  </conditionalFormatting>
  <conditionalFormatting sqref="O85">
    <cfRule type="cellIs" dxfId="66" priority="2" operator="equal">
      <formula>$N$85</formula>
    </cfRule>
  </conditionalFormatting>
  <conditionalFormatting sqref="O86">
    <cfRule type="cellIs" dxfId="65" priority="1" operator="equal">
      <formula>$N$86</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1184C-1A17-DC45-BD7E-8A2CBBB96BC5}">
  <dimension ref="A1:Q48"/>
  <sheetViews>
    <sheetView topLeftCell="A21" workbookViewId="0">
      <selection activeCell="A33" sqref="A33:D33"/>
    </sheetView>
  </sheetViews>
  <sheetFormatPr baseColWidth="10" defaultRowHeight="16" x14ac:dyDescent="0.2"/>
  <cols>
    <col min="1" max="1" width="25.1640625" bestFit="1" customWidth="1"/>
    <col min="13" max="13" width="1.6640625" customWidth="1"/>
    <col min="14" max="14" width="20.33203125" bestFit="1" customWidth="1"/>
    <col min="16" max="16" width="71" bestFit="1" customWidth="1"/>
    <col min="17" max="17" width="25.5" customWidth="1"/>
  </cols>
  <sheetData>
    <row r="1" spans="1:15" ht="34" x14ac:dyDescent="0.2">
      <c r="B1" s="9" t="s">
        <v>63</v>
      </c>
    </row>
    <row r="2" spans="1:15" x14ac:dyDescent="0.2">
      <c r="A2" s="64" t="s">
        <v>106</v>
      </c>
      <c r="B2" s="6" t="s">
        <v>109</v>
      </c>
      <c r="O2" s="1"/>
    </row>
    <row r="3" spans="1:15" x14ac:dyDescent="0.2">
      <c r="A3" s="67" t="s">
        <v>7</v>
      </c>
      <c r="C3" s="45" t="s">
        <v>77</v>
      </c>
      <c r="D3" s="45"/>
      <c r="E3" s="45"/>
      <c r="F3" s="45"/>
      <c r="G3" s="45"/>
      <c r="H3" s="45"/>
      <c r="I3" s="45"/>
      <c r="J3" s="45"/>
      <c r="K3" s="45"/>
      <c r="L3" s="45"/>
      <c r="N3" t="s">
        <v>79</v>
      </c>
      <c r="O3" s="1"/>
    </row>
    <row r="4" spans="1:15" x14ac:dyDescent="0.2">
      <c r="A4" t="s">
        <v>8</v>
      </c>
      <c r="C4" s="45" t="s">
        <v>78</v>
      </c>
      <c r="D4" s="45"/>
      <c r="E4" s="45"/>
      <c r="F4" s="45"/>
      <c r="G4" s="45"/>
      <c r="H4" s="45"/>
      <c r="I4" s="45"/>
      <c r="J4" s="45"/>
      <c r="K4" s="45"/>
      <c r="L4" s="45"/>
      <c r="O4" s="1"/>
    </row>
    <row r="5" spans="1:15" x14ac:dyDescent="0.2">
      <c r="A5" t="s">
        <v>18</v>
      </c>
      <c r="B5">
        <v>10</v>
      </c>
      <c r="C5" s="85">
        <v>45706</v>
      </c>
      <c r="D5" s="85">
        <v>45741</v>
      </c>
      <c r="E5" s="85">
        <v>45776</v>
      </c>
      <c r="F5" s="85">
        <v>45804</v>
      </c>
      <c r="G5" s="86">
        <v>45832</v>
      </c>
      <c r="H5" s="86">
        <v>45860</v>
      </c>
      <c r="I5" s="86">
        <v>45895</v>
      </c>
      <c r="J5" s="86">
        <v>45930</v>
      </c>
      <c r="K5" s="86">
        <v>45951</v>
      </c>
      <c r="L5" s="86">
        <v>45986</v>
      </c>
      <c r="M5">
        <f>COUNTA(#REF!)</f>
        <v>1</v>
      </c>
      <c r="N5">
        <f t="shared" ref="N5:N48" si="0">COUNTA(C5:L5)</f>
        <v>10</v>
      </c>
      <c r="O5" s="10"/>
    </row>
    <row r="6" spans="1:15" x14ac:dyDescent="0.2">
      <c r="A6" t="s">
        <v>19</v>
      </c>
      <c r="B6">
        <v>10</v>
      </c>
      <c r="C6" s="86">
        <v>45671</v>
      </c>
      <c r="D6" s="86">
        <v>45741</v>
      </c>
      <c r="E6" s="86">
        <v>45797</v>
      </c>
      <c r="F6" s="86">
        <v>45832</v>
      </c>
      <c r="G6" s="86">
        <v>45867</v>
      </c>
      <c r="H6" s="86">
        <v>45888</v>
      </c>
      <c r="I6" s="86">
        <v>45923</v>
      </c>
      <c r="J6" s="86">
        <v>45951</v>
      </c>
      <c r="K6" s="86">
        <v>45986</v>
      </c>
      <c r="L6" s="86">
        <v>45977</v>
      </c>
      <c r="M6">
        <f t="shared" ref="M5:M42" si="1">COUNTA(C5:L5)</f>
        <v>10</v>
      </c>
      <c r="N6">
        <f t="shared" si="0"/>
        <v>10</v>
      </c>
      <c r="O6" s="1"/>
    </row>
    <row r="7" spans="1:15" x14ac:dyDescent="0.2">
      <c r="A7" t="s">
        <v>6</v>
      </c>
      <c r="B7">
        <v>10</v>
      </c>
      <c r="C7" s="86">
        <v>45664</v>
      </c>
      <c r="D7" s="86">
        <v>45699</v>
      </c>
      <c r="E7" s="86">
        <v>45727</v>
      </c>
      <c r="F7" s="86">
        <v>45755</v>
      </c>
      <c r="G7" s="86">
        <v>45783</v>
      </c>
      <c r="H7" s="86">
        <v>45818</v>
      </c>
      <c r="I7" s="86">
        <v>45846</v>
      </c>
      <c r="J7" s="86">
        <v>45874</v>
      </c>
      <c r="K7" s="86">
        <v>45909</v>
      </c>
      <c r="L7" s="86">
        <v>45972</v>
      </c>
      <c r="M7">
        <f t="shared" si="1"/>
        <v>10</v>
      </c>
      <c r="N7">
        <f t="shared" si="0"/>
        <v>10</v>
      </c>
      <c r="O7" s="10"/>
    </row>
    <row r="8" spans="1:15" x14ac:dyDescent="0.2">
      <c r="A8" t="s">
        <v>20</v>
      </c>
      <c r="B8" s="61">
        <v>8</v>
      </c>
      <c r="C8" s="86">
        <v>45692</v>
      </c>
      <c r="D8" s="86">
        <v>45762</v>
      </c>
      <c r="E8" s="86">
        <v>45825</v>
      </c>
      <c r="F8" s="86">
        <v>45853</v>
      </c>
      <c r="G8" s="86">
        <v>45888</v>
      </c>
      <c r="H8" s="86">
        <v>45916</v>
      </c>
      <c r="I8" s="86">
        <v>45958</v>
      </c>
      <c r="J8" s="86">
        <v>45993</v>
      </c>
      <c r="K8" s="86"/>
      <c r="L8" s="86"/>
      <c r="M8">
        <f t="shared" si="1"/>
        <v>10</v>
      </c>
      <c r="N8">
        <f t="shared" si="0"/>
        <v>8</v>
      </c>
      <c r="O8" s="10"/>
    </row>
    <row r="9" spans="1:15" x14ac:dyDescent="0.2">
      <c r="A9" t="s">
        <v>23</v>
      </c>
      <c r="B9" s="61">
        <v>7</v>
      </c>
      <c r="C9" s="86">
        <v>45664</v>
      </c>
      <c r="D9" s="86">
        <v>45678</v>
      </c>
      <c r="E9" s="86">
        <v>45699</v>
      </c>
      <c r="F9" s="86">
        <v>45888</v>
      </c>
      <c r="G9" s="86">
        <v>45937</v>
      </c>
      <c r="H9" s="86">
        <v>45972</v>
      </c>
      <c r="I9" s="86">
        <v>46000</v>
      </c>
      <c r="J9" s="86"/>
      <c r="K9" s="86"/>
      <c r="L9" s="86"/>
      <c r="M9">
        <f t="shared" si="1"/>
        <v>8</v>
      </c>
      <c r="N9">
        <f t="shared" si="0"/>
        <v>7</v>
      </c>
      <c r="O9" s="10"/>
    </row>
    <row r="10" spans="1:15" x14ac:dyDescent="0.2">
      <c r="A10" t="s">
        <v>21</v>
      </c>
      <c r="B10" s="61">
        <v>6</v>
      </c>
      <c r="C10" s="86">
        <v>45713</v>
      </c>
      <c r="D10" s="86">
        <v>45727</v>
      </c>
      <c r="E10" s="86">
        <v>45811</v>
      </c>
      <c r="F10" s="86">
        <v>45902</v>
      </c>
      <c r="G10" s="86">
        <v>45937</v>
      </c>
      <c r="H10" s="86">
        <v>46000</v>
      </c>
      <c r="I10" s="86"/>
      <c r="J10" s="86"/>
      <c r="K10" s="86"/>
      <c r="L10" s="86"/>
      <c r="M10">
        <f t="shared" si="1"/>
        <v>7</v>
      </c>
      <c r="N10">
        <f t="shared" si="0"/>
        <v>6</v>
      </c>
      <c r="O10" s="1"/>
    </row>
    <row r="11" spans="1:15" x14ac:dyDescent="0.2">
      <c r="A11" t="s">
        <v>9</v>
      </c>
      <c r="B11" s="61">
        <v>4</v>
      </c>
      <c r="C11" s="1">
        <v>45671</v>
      </c>
      <c r="D11" s="1">
        <v>45818</v>
      </c>
      <c r="E11" s="1">
        <v>45909</v>
      </c>
      <c r="F11" s="1">
        <v>45937</v>
      </c>
      <c r="G11" s="1"/>
      <c r="H11" s="1"/>
      <c r="M11">
        <f t="shared" si="1"/>
        <v>6</v>
      </c>
      <c r="N11">
        <f t="shared" si="0"/>
        <v>4</v>
      </c>
      <c r="O11" s="10"/>
    </row>
    <row r="12" spans="1:15" x14ac:dyDescent="0.2">
      <c r="A12" t="s">
        <v>22</v>
      </c>
      <c r="B12" s="61">
        <v>6</v>
      </c>
      <c r="C12" s="1">
        <v>45692</v>
      </c>
      <c r="D12" s="1">
        <v>45734</v>
      </c>
      <c r="E12" s="1">
        <v>45797</v>
      </c>
      <c r="F12" s="1">
        <v>45867</v>
      </c>
      <c r="G12" s="1">
        <v>45930</v>
      </c>
      <c r="H12" s="1">
        <v>45979</v>
      </c>
      <c r="I12" s="1"/>
      <c r="J12" s="1"/>
      <c r="K12" s="1"/>
      <c r="L12" s="1"/>
      <c r="M12">
        <f t="shared" si="1"/>
        <v>4</v>
      </c>
      <c r="N12">
        <f>COUNTA(C12:L12)</f>
        <v>6</v>
      </c>
      <c r="O12" s="10"/>
    </row>
    <row r="13" spans="1:15" x14ac:dyDescent="0.2">
      <c r="A13" t="s">
        <v>30</v>
      </c>
      <c r="B13" s="61">
        <v>6</v>
      </c>
      <c r="C13" s="1">
        <v>45692</v>
      </c>
      <c r="D13" s="1">
        <v>45748</v>
      </c>
      <c r="E13" s="1">
        <v>45839</v>
      </c>
      <c r="F13" s="1">
        <v>45516</v>
      </c>
      <c r="G13" s="1">
        <v>45944</v>
      </c>
      <c r="H13" s="1">
        <v>45966</v>
      </c>
      <c r="M13">
        <f>COUNTA(D12:L12)</f>
        <v>5</v>
      </c>
      <c r="N13">
        <f>COUNTA(C13:L13)</f>
        <v>6</v>
      </c>
      <c r="O13" s="10"/>
    </row>
    <row r="14" spans="1:15" x14ac:dyDescent="0.2">
      <c r="A14" t="s">
        <v>33</v>
      </c>
      <c r="B14" s="61">
        <v>5</v>
      </c>
      <c r="C14" s="1">
        <v>45685</v>
      </c>
      <c r="D14" s="1">
        <v>45783</v>
      </c>
      <c r="E14" s="1">
        <v>45874</v>
      </c>
      <c r="F14" s="1">
        <v>45966</v>
      </c>
      <c r="G14" s="1">
        <v>45986</v>
      </c>
      <c r="M14">
        <f t="shared" si="1"/>
        <v>6</v>
      </c>
      <c r="N14">
        <f t="shared" ref="N14:N47" si="2">COUNTA(C14:L14)</f>
        <v>5</v>
      </c>
      <c r="O14" s="10"/>
    </row>
    <row r="15" spans="1:15" x14ac:dyDescent="0.2">
      <c r="A15" t="s">
        <v>31</v>
      </c>
      <c r="B15" s="61">
        <v>5</v>
      </c>
      <c r="C15" s="1">
        <v>45706</v>
      </c>
      <c r="D15" s="1">
        <v>45755</v>
      </c>
      <c r="E15" s="1">
        <v>45790</v>
      </c>
      <c r="F15" s="1">
        <v>45881</v>
      </c>
      <c r="G15" s="1">
        <v>45916</v>
      </c>
      <c r="M15">
        <f t="shared" si="1"/>
        <v>5</v>
      </c>
      <c r="N15">
        <f t="shared" si="2"/>
        <v>5</v>
      </c>
      <c r="O15" s="1"/>
    </row>
    <row r="16" spans="1:15" x14ac:dyDescent="0.2">
      <c r="A16" t="s">
        <v>28</v>
      </c>
      <c r="B16" s="61">
        <v>5</v>
      </c>
      <c r="C16" s="1">
        <v>45685</v>
      </c>
      <c r="D16" s="1">
        <v>45706</v>
      </c>
      <c r="E16" s="1">
        <v>45839</v>
      </c>
      <c r="F16" s="1">
        <v>42313</v>
      </c>
      <c r="G16" s="1">
        <v>46007</v>
      </c>
      <c r="M16">
        <f t="shared" si="1"/>
        <v>5</v>
      </c>
      <c r="N16">
        <f t="shared" si="2"/>
        <v>5</v>
      </c>
      <c r="O16" s="1"/>
    </row>
    <row r="17" spans="1:16" x14ac:dyDescent="0.2">
      <c r="A17" t="s">
        <v>25</v>
      </c>
      <c r="B17" s="61">
        <v>3</v>
      </c>
      <c r="C17" s="1">
        <v>45720</v>
      </c>
      <c r="D17" s="1">
        <v>45776</v>
      </c>
      <c r="E17" s="1">
        <v>45811</v>
      </c>
      <c r="F17" s="1"/>
      <c r="G17" s="1"/>
      <c r="M17">
        <f t="shared" si="1"/>
        <v>5</v>
      </c>
      <c r="N17">
        <f t="shared" si="2"/>
        <v>3</v>
      </c>
      <c r="O17" s="1"/>
    </row>
    <row r="18" spans="1:16" x14ac:dyDescent="0.2">
      <c r="A18" t="s">
        <v>29</v>
      </c>
      <c r="B18" s="61">
        <v>3</v>
      </c>
      <c r="C18" s="1">
        <v>45720</v>
      </c>
      <c r="D18" s="1">
        <v>45797</v>
      </c>
      <c r="E18" s="1">
        <v>45966</v>
      </c>
      <c r="F18" s="1"/>
      <c r="G18" s="1"/>
      <c r="M18">
        <f t="shared" si="1"/>
        <v>3</v>
      </c>
      <c r="N18">
        <f t="shared" si="2"/>
        <v>3</v>
      </c>
      <c r="O18" s="1"/>
    </row>
    <row r="19" spans="1:16" x14ac:dyDescent="0.2">
      <c r="A19" t="s">
        <v>99</v>
      </c>
      <c r="B19" s="61">
        <v>3</v>
      </c>
      <c r="C19" s="1">
        <v>45741</v>
      </c>
      <c r="D19" s="1">
        <v>45923</v>
      </c>
      <c r="E19" s="1">
        <v>45979</v>
      </c>
      <c r="F19" s="1"/>
      <c r="M19">
        <f t="shared" si="1"/>
        <v>3</v>
      </c>
      <c r="N19">
        <f t="shared" si="2"/>
        <v>3</v>
      </c>
      <c r="O19" s="1"/>
      <c r="P19" s="12"/>
    </row>
    <row r="20" spans="1:16" x14ac:dyDescent="0.2">
      <c r="A20" t="s">
        <v>26</v>
      </c>
      <c r="B20" s="61">
        <v>3</v>
      </c>
      <c r="C20" s="1">
        <v>45734</v>
      </c>
      <c r="D20" s="1">
        <v>45839</v>
      </c>
      <c r="E20" s="1">
        <v>45923</v>
      </c>
      <c r="F20" s="1"/>
      <c r="M20">
        <f t="shared" si="1"/>
        <v>3</v>
      </c>
      <c r="N20">
        <f t="shared" si="2"/>
        <v>3</v>
      </c>
      <c r="O20" s="1"/>
    </row>
    <row r="21" spans="1:16" x14ac:dyDescent="0.2">
      <c r="A21" t="s">
        <v>24</v>
      </c>
      <c r="B21" s="61">
        <v>3</v>
      </c>
      <c r="C21" s="1">
        <v>45734</v>
      </c>
      <c r="D21" s="1">
        <v>45853</v>
      </c>
      <c r="E21" s="1">
        <v>45979</v>
      </c>
      <c r="F21" s="1"/>
      <c r="M21">
        <f t="shared" si="1"/>
        <v>3</v>
      </c>
      <c r="N21">
        <f t="shared" si="2"/>
        <v>3</v>
      </c>
      <c r="O21" s="1"/>
    </row>
    <row r="22" spans="1:16" x14ac:dyDescent="0.2">
      <c r="A22" t="s">
        <v>45</v>
      </c>
      <c r="B22" s="61">
        <v>4</v>
      </c>
      <c r="C22" s="1">
        <v>45699</v>
      </c>
      <c r="D22" s="1">
        <v>45748</v>
      </c>
      <c r="E22" s="1">
        <v>45467</v>
      </c>
      <c r="F22" s="1">
        <v>45972</v>
      </c>
      <c r="M22">
        <f t="shared" si="1"/>
        <v>3</v>
      </c>
      <c r="N22">
        <f t="shared" si="2"/>
        <v>4</v>
      </c>
      <c r="O22" s="1"/>
    </row>
    <row r="23" spans="1:16" x14ac:dyDescent="0.2">
      <c r="A23" t="s">
        <v>42</v>
      </c>
      <c r="B23" s="61">
        <v>3</v>
      </c>
      <c r="C23" s="1">
        <v>45755</v>
      </c>
      <c r="D23" s="1">
        <v>45790</v>
      </c>
      <c r="E23" s="1">
        <v>45902</v>
      </c>
      <c r="F23" s="1"/>
      <c r="M23">
        <f t="shared" si="1"/>
        <v>4</v>
      </c>
      <c r="N23">
        <f t="shared" si="2"/>
        <v>3</v>
      </c>
      <c r="O23" s="1"/>
    </row>
    <row r="24" spans="1:16" x14ac:dyDescent="0.2">
      <c r="A24" t="s">
        <v>32</v>
      </c>
      <c r="B24" s="61">
        <v>3</v>
      </c>
      <c r="C24" s="1">
        <v>45825</v>
      </c>
      <c r="D24" s="1">
        <v>45874</v>
      </c>
      <c r="E24" s="1">
        <v>45944</v>
      </c>
      <c r="M24">
        <f t="shared" si="1"/>
        <v>3</v>
      </c>
      <c r="N24">
        <f t="shared" si="2"/>
        <v>3</v>
      </c>
      <c r="O24" s="1"/>
    </row>
    <row r="25" spans="1:16" x14ac:dyDescent="0.2">
      <c r="A25" t="s">
        <v>37</v>
      </c>
      <c r="B25" s="61">
        <v>3</v>
      </c>
      <c r="C25" s="1">
        <v>45671</v>
      </c>
      <c r="D25" s="1">
        <v>45860</v>
      </c>
      <c r="E25" s="1">
        <v>45902</v>
      </c>
      <c r="M25">
        <f t="shared" si="1"/>
        <v>3</v>
      </c>
      <c r="N25">
        <f t="shared" si="2"/>
        <v>3</v>
      </c>
      <c r="O25" s="1"/>
    </row>
    <row r="26" spans="1:16" ht="16" customHeight="1" x14ac:dyDescent="0.2">
      <c r="A26" t="s">
        <v>41</v>
      </c>
      <c r="B26" s="61">
        <v>2</v>
      </c>
      <c r="C26" s="1">
        <v>45804</v>
      </c>
      <c r="D26" s="1">
        <v>45930</v>
      </c>
      <c r="E26" s="1"/>
      <c r="M26">
        <f t="shared" si="1"/>
        <v>3</v>
      </c>
      <c r="N26">
        <f t="shared" si="2"/>
        <v>2</v>
      </c>
      <c r="O26" s="1"/>
    </row>
    <row r="27" spans="1:16" x14ac:dyDescent="0.2">
      <c r="A27" t="s">
        <v>100</v>
      </c>
      <c r="B27" s="61">
        <v>2</v>
      </c>
      <c r="C27" s="1">
        <v>45804</v>
      </c>
      <c r="D27" s="1">
        <v>45902</v>
      </c>
      <c r="E27" s="1"/>
      <c r="M27">
        <f t="shared" si="1"/>
        <v>2</v>
      </c>
      <c r="N27">
        <f t="shared" si="2"/>
        <v>2</v>
      </c>
      <c r="O27" s="1"/>
    </row>
    <row r="28" spans="1:16" x14ac:dyDescent="0.2">
      <c r="A28" t="s">
        <v>44</v>
      </c>
      <c r="B28" s="61">
        <v>2</v>
      </c>
      <c r="C28" s="1">
        <v>45720</v>
      </c>
      <c r="D28" s="1">
        <v>45871</v>
      </c>
      <c r="E28" s="1"/>
      <c r="M28">
        <f t="shared" si="1"/>
        <v>2</v>
      </c>
      <c r="N28">
        <f t="shared" si="2"/>
        <v>2</v>
      </c>
      <c r="O28" s="10"/>
    </row>
    <row r="29" spans="1:16" x14ac:dyDescent="0.2">
      <c r="A29" t="s">
        <v>101</v>
      </c>
      <c r="B29" s="61">
        <v>2</v>
      </c>
      <c r="C29" s="1">
        <v>45738</v>
      </c>
      <c r="D29" s="1">
        <v>45846</v>
      </c>
      <c r="E29" s="1"/>
      <c r="M29">
        <f t="shared" si="1"/>
        <v>2</v>
      </c>
      <c r="N29">
        <f t="shared" si="2"/>
        <v>2</v>
      </c>
      <c r="O29" s="10"/>
    </row>
    <row r="30" spans="1:16" x14ac:dyDescent="0.2">
      <c r="A30" t="s">
        <v>27</v>
      </c>
      <c r="B30" s="61">
        <v>2</v>
      </c>
      <c r="C30" s="1">
        <v>45713</v>
      </c>
      <c r="D30" s="1">
        <v>45790</v>
      </c>
      <c r="E30" s="1"/>
      <c r="M30">
        <f t="shared" si="1"/>
        <v>2</v>
      </c>
      <c r="N30">
        <f t="shared" si="2"/>
        <v>2</v>
      </c>
      <c r="O30" s="10"/>
    </row>
    <row r="31" spans="1:16" x14ac:dyDescent="0.2">
      <c r="A31" t="s">
        <v>72</v>
      </c>
      <c r="B31" s="61">
        <v>2</v>
      </c>
      <c r="C31" s="1">
        <v>45776</v>
      </c>
      <c r="D31" s="1">
        <v>45867</v>
      </c>
      <c r="E31" s="1"/>
      <c r="M31">
        <f t="shared" si="1"/>
        <v>2</v>
      </c>
      <c r="N31">
        <f t="shared" si="2"/>
        <v>2</v>
      </c>
      <c r="O31" s="1"/>
    </row>
    <row r="32" spans="1:16" x14ac:dyDescent="0.2">
      <c r="A32" t="s">
        <v>43</v>
      </c>
      <c r="B32" s="61">
        <v>2</v>
      </c>
      <c r="C32" s="1">
        <v>45761</v>
      </c>
      <c r="D32" s="1">
        <v>45895</v>
      </c>
      <c r="E32" s="1"/>
      <c r="M32">
        <f t="shared" si="1"/>
        <v>2</v>
      </c>
      <c r="N32">
        <f t="shared" si="2"/>
        <v>2</v>
      </c>
      <c r="O32" s="1"/>
    </row>
    <row r="33" spans="1:17" x14ac:dyDescent="0.2">
      <c r="A33" t="s">
        <v>35</v>
      </c>
      <c r="B33" s="61">
        <v>2</v>
      </c>
      <c r="C33" s="1">
        <v>45769</v>
      </c>
      <c r="D33" s="1">
        <v>45888</v>
      </c>
      <c r="E33" s="1"/>
      <c r="M33">
        <f t="shared" si="1"/>
        <v>2</v>
      </c>
      <c r="N33">
        <f t="shared" si="2"/>
        <v>2</v>
      </c>
      <c r="O33" s="1"/>
      <c r="P33" s="13"/>
    </row>
    <row r="34" spans="1:17" x14ac:dyDescent="0.2">
      <c r="A34" t="s">
        <v>90</v>
      </c>
      <c r="B34" s="61">
        <v>2</v>
      </c>
      <c r="C34" s="1">
        <v>45762</v>
      </c>
      <c r="D34" s="1">
        <v>45853</v>
      </c>
      <c r="E34" s="1"/>
      <c r="M34">
        <f t="shared" si="1"/>
        <v>2</v>
      </c>
      <c r="N34">
        <f t="shared" si="2"/>
        <v>2</v>
      </c>
      <c r="O34" s="1"/>
    </row>
    <row r="35" spans="1:17" x14ac:dyDescent="0.2">
      <c r="A35" t="s">
        <v>36</v>
      </c>
      <c r="B35" s="61">
        <v>2</v>
      </c>
      <c r="C35" s="1">
        <v>45769</v>
      </c>
      <c r="D35" s="1">
        <v>45951</v>
      </c>
      <c r="E35" s="1"/>
      <c r="M35">
        <f t="shared" si="1"/>
        <v>2</v>
      </c>
      <c r="N35">
        <f t="shared" si="2"/>
        <v>2</v>
      </c>
      <c r="O35" s="10"/>
    </row>
    <row r="36" spans="1:17" x14ac:dyDescent="0.2">
      <c r="A36" t="s">
        <v>40</v>
      </c>
      <c r="B36" s="61">
        <v>2</v>
      </c>
      <c r="C36" s="1">
        <v>45811</v>
      </c>
      <c r="D36" s="1">
        <v>45993</v>
      </c>
      <c r="E36" s="1"/>
      <c r="M36">
        <f t="shared" si="1"/>
        <v>2</v>
      </c>
      <c r="N36">
        <f t="shared" si="2"/>
        <v>2</v>
      </c>
      <c r="O36" s="10"/>
    </row>
    <row r="37" spans="1:17" x14ac:dyDescent="0.2">
      <c r="A37" t="s">
        <v>38</v>
      </c>
      <c r="B37" s="61">
        <v>2</v>
      </c>
      <c r="C37" s="1">
        <v>45685</v>
      </c>
      <c r="D37" s="1">
        <v>45846</v>
      </c>
      <c r="E37" s="1"/>
      <c r="M37">
        <f t="shared" si="1"/>
        <v>2</v>
      </c>
      <c r="N37">
        <f t="shared" si="2"/>
        <v>2</v>
      </c>
      <c r="O37" s="1"/>
      <c r="Q37" s="14" t="s">
        <v>91</v>
      </c>
    </row>
    <row r="38" spans="1:17" x14ac:dyDescent="0.2">
      <c r="A38" t="s">
        <v>102</v>
      </c>
      <c r="B38" s="68">
        <v>2</v>
      </c>
      <c r="C38" s="1">
        <v>45825</v>
      </c>
      <c r="D38" s="1">
        <v>46000</v>
      </c>
      <c r="E38" s="1"/>
      <c r="M38">
        <f t="shared" si="1"/>
        <v>2</v>
      </c>
      <c r="N38">
        <f t="shared" si="2"/>
        <v>2</v>
      </c>
    </row>
    <row r="39" spans="1:17" x14ac:dyDescent="0.2">
      <c r="A39" t="s">
        <v>39</v>
      </c>
      <c r="B39" s="61">
        <v>2</v>
      </c>
      <c r="C39" s="1">
        <v>45671</v>
      </c>
      <c r="D39" s="1">
        <v>45958</v>
      </c>
      <c r="E39" s="1"/>
      <c r="M39">
        <f t="shared" si="1"/>
        <v>2</v>
      </c>
      <c r="N39">
        <f t="shared" si="2"/>
        <v>2</v>
      </c>
      <c r="O39" s="1"/>
    </row>
    <row r="40" spans="1:17" x14ac:dyDescent="0.2">
      <c r="A40" t="s">
        <v>103</v>
      </c>
      <c r="B40" s="61">
        <v>1</v>
      </c>
      <c r="C40" s="1">
        <v>45748</v>
      </c>
      <c r="D40" s="1"/>
      <c r="E40" s="1"/>
      <c r="M40">
        <f t="shared" si="1"/>
        <v>2</v>
      </c>
      <c r="N40">
        <f t="shared" si="2"/>
        <v>1</v>
      </c>
      <c r="O40" s="10"/>
      <c r="P40" s="14"/>
    </row>
    <row r="41" spans="1:17" x14ac:dyDescent="0.2">
      <c r="A41" t="s">
        <v>92</v>
      </c>
      <c r="B41" s="61">
        <v>1</v>
      </c>
      <c r="C41" s="1">
        <v>45811</v>
      </c>
      <c r="D41" s="1"/>
      <c r="E41" s="1"/>
      <c r="M41">
        <f t="shared" si="1"/>
        <v>1</v>
      </c>
      <c r="N41">
        <f t="shared" si="2"/>
        <v>1</v>
      </c>
      <c r="P41" s="14"/>
      <c r="Q41" s="14"/>
    </row>
    <row r="42" spans="1:17" x14ac:dyDescent="0.2">
      <c r="A42" t="s">
        <v>96</v>
      </c>
      <c r="B42" s="61">
        <v>1</v>
      </c>
      <c r="C42" s="1">
        <v>45944</v>
      </c>
      <c r="D42" s="1"/>
      <c r="E42" s="1"/>
      <c r="M42">
        <f t="shared" si="1"/>
        <v>1</v>
      </c>
      <c r="N42">
        <f t="shared" si="2"/>
        <v>1</v>
      </c>
    </row>
    <row r="43" spans="1:17" x14ac:dyDescent="0.2">
      <c r="A43" t="s">
        <v>94</v>
      </c>
      <c r="B43" s="61">
        <v>1</v>
      </c>
      <c r="C43" s="1">
        <v>45958</v>
      </c>
      <c r="D43" s="1"/>
      <c r="E43" s="1"/>
      <c r="N43">
        <f t="shared" si="2"/>
        <v>1</v>
      </c>
    </row>
    <row r="44" spans="1:17" x14ac:dyDescent="0.2">
      <c r="A44" t="s">
        <v>95</v>
      </c>
      <c r="B44" s="61">
        <v>1</v>
      </c>
      <c r="C44" s="1">
        <v>45916</v>
      </c>
      <c r="D44" s="1"/>
      <c r="E44" s="1"/>
      <c r="N44">
        <f t="shared" si="2"/>
        <v>1</v>
      </c>
    </row>
    <row r="45" spans="1:17" x14ac:dyDescent="0.2">
      <c r="A45" t="s">
        <v>76</v>
      </c>
      <c r="B45" s="61">
        <v>1</v>
      </c>
      <c r="C45" s="1">
        <v>45783</v>
      </c>
      <c r="D45" s="1"/>
      <c r="E45" s="1"/>
      <c r="N45">
        <f t="shared" si="2"/>
        <v>1</v>
      </c>
    </row>
    <row r="46" spans="1:17" x14ac:dyDescent="0.2">
      <c r="A46" t="s">
        <v>104</v>
      </c>
      <c r="B46" s="61">
        <v>1</v>
      </c>
      <c r="C46" s="1">
        <v>45818</v>
      </c>
      <c r="D46" s="1"/>
      <c r="E46" s="1"/>
      <c r="N46">
        <f t="shared" si="2"/>
        <v>1</v>
      </c>
    </row>
    <row r="47" spans="1:17" x14ac:dyDescent="0.2">
      <c r="A47" t="s">
        <v>98</v>
      </c>
      <c r="B47">
        <v>1</v>
      </c>
      <c r="C47" s="1">
        <v>45678</v>
      </c>
      <c r="D47" s="1"/>
      <c r="E47" s="1"/>
      <c r="N47">
        <f t="shared" si="2"/>
        <v>1</v>
      </c>
    </row>
    <row r="48" spans="1:17" x14ac:dyDescent="0.2">
      <c r="B48">
        <f>SUM(B3:B47)</f>
        <v>146</v>
      </c>
      <c r="N48">
        <f>SUM(N5:N47)</f>
        <v>146</v>
      </c>
    </row>
  </sheetData>
  <mergeCells count="2">
    <mergeCell ref="C3:L3"/>
    <mergeCell ref="C4:L4"/>
  </mergeCells>
  <phoneticPr fontId="8" type="noConversion"/>
  <conditionalFormatting sqref="B3:B7">
    <cfRule type="cellIs" dxfId="64" priority="56" operator="equal">
      <formula>$H$45</formula>
    </cfRule>
  </conditionalFormatting>
  <conditionalFormatting sqref="B4:B7">
    <cfRule type="cellIs" dxfId="63" priority="19" operator="equal">
      <formula>$H$46</formula>
    </cfRule>
    <cfRule type="cellIs" dxfId="62" priority="22" operator="equal">
      <formula>$H$46</formula>
    </cfRule>
  </conditionalFormatting>
  <conditionalFormatting sqref="B8">
    <cfRule type="cellIs" dxfId="61" priority="15" operator="equal">
      <formula>$H$50</formula>
    </cfRule>
    <cfRule type="cellIs" dxfId="60" priority="55" operator="equal">
      <formula>$H$50</formula>
    </cfRule>
  </conditionalFormatting>
  <conditionalFormatting sqref="B9">
    <cfRule type="cellIs" dxfId="59" priority="14" operator="equal">
      <formula>$H$51</formula>
    </cfRule>
    <cfRule type="cellIs" dxfId="58" priority="54" operator="equal">
      <formula>$H$51</formula>
    </cfRule>
  </conditionalFormatting>
  <conditionalFormatting sqref="B10">
    <cfRule type="cellIs" dxfId="57" priority="13" operator="equal">
      <formula>$H$52</formula>
    </cfRule>
    <cfRule type="cellIs" dxfId="56" priority="53" operator="equal">
      <formula>$H$52</formula>
    </cfRule>
  </conditionalFormatting>
  <conditionalFormatting sqref="B11">
    <cfRule type="cellIs" dxfId="55" priority="12" operator="equal">
      <formula>$H$53</formula>
    </cfRule>
    <cfRule type="cellIs" dxfId="54" priority="52" operator="equal">
      <formula>$H$53</formula>
    </cfRule>
  </conditionalFormatting>
  <conditionalFormatting sqref="B12">
    <cfRule type="cellIs" dxfId="53" priority="11" operator="equal">
      <formula>$H$54</formula>
    </cfRule>
    <cfRule type="cellIs" dxfId="52" priority="51" operator="equal">
      <formula>$H$54</formula>
    </cfRule>
  </conditionalFormatting>
  <conditionalFormatting sqref="B13">
    <cfRule type="cellIs" dxfId="51" priority="10" operator="equal">
      <formula>$H$55</formula>
    </cfRule>
    <cfRule type="cellIs" dxfId="50" priority="50" operator="equal">
      <formula>$H$55</formula>
    </cfRule>
  </conditionalFormatting>
  <conditionalFormatting sqref="B14">
    <cfRule type="cellIs" dxfId="49" priority="9" operator="equal">
      <formula>$H$56</formula>
    </cfRule>
    <cfRule type="cellIs" dxfId="48" priority="49" operator="equal">
      <formula>$H$56</formula>
    </cfRule>
  </conditionalFormatting>
  <conditionalFormatting sqref="B15">
    <cfRule type="cellIs" dxfId="47" priority="8" operator="equal">
      <formula>$H$57</formula>
    </cfRule>
    <cfRule type="cellIs" dxfId="46" priority="48" operator="equal">
      <formula>$H$57</formula>
    </cfRule>
  </conditionalFormatting>
  <conditionalFormatting sqref="B16">
    <cfRule type="cellIs" dxfId="45" priority="7" operator="equal">
      <formula>$H$58</formula>
    </cfRule>
    <cfRule type="cellIs" dxfId="44" priority="47" operator="equal">
      <formula>$H$58</formula>
    </cfRule>
  </conditionalFormatting>
  <conditionalFormatting sqref="B17">
    <cfRule type="cellIs" dxfId="43" priority="6" operator="equal">
      <formula>$H$59</formula>
    </cfRule>
    <cfRule type="cellIs" dxfId="42" priority="46" operator="equal">
      <formula>$H$59</formula>
    </cfRule>
  </conditionalFormatting>
  <conditionalFormatting sqref="B18">
    <cfRule type="cellIs" dxfId="41" priority="45" operator="equal">
      <formula>$H$60</formula>
    </cfRule>
  </conditionalFormatting>
  <conditionalFormatting sqref="B19">
    <cfRule type="cellIs" dxfId="40" priority="5" operator="equal">
      <formula>$H$61</formula>
    </cfRule>
    <cfRule type="cellIs" dxfId="39" priority="44" operator="equal">
      <formula>$H$61</formula>
    </cfRule>
  </conditionalFormatting>
  <conditionalFormatting sqref="B20">
    <cfRule type="cellIs" dxfId="38" priority="43" operator="equal">
      <formula>$H$62</formula>
    </cfRule>
  </conditionalFormatting>
  <conditionalFormatting sqref="B21">
    <cfRule type="cellIs" dxfId="37" priority="42" operator="equal">
      <formula>$H$63</formula>
    </cfRule>
  </conditionalFormatting>
  <conditionalFormatting sqref="B22">
    <cfRule type="cellIs" dxfId="36" priority="41" operator="equal">
      <formula>$H$64</formula>
    </cfRule>
  </conditionalFormatting>
  <conditionalFormatting sqref="B23">
    <cfRule type="cellIs" dxfId="35" priority="40" operator="equal">
      <formula>$H$65</formula>
    </cfRule>
  </conditionalFormatting>
  <conditionalFormatting sqref="B24">
    <cfRule type="cellIs" dxfId="34" priority="39" operator="equal">
      <formula>$H$66</formula>
    </cfRule>
  </conditionalFormatting>
  <conditionalFormatting sqref="B25">
    <cfRule type="cellIs" dxfId="33" priority="38" operator="equal">
      <formula>$H$67</formula>
    </cfRule>
  </conditionalFormatting>
  <conditionalFormatting sqref="B26">
    <cfRule type="cellIs" dxfId="32" priority="37" operator="equal">
      <formula>$H$68</formula>
    </cfRule>
  </conditionalFormatting>
  <conditionalFormatting sqref="B27">
    <cfRule type="cellIs" dxfId="31" priority="36" operator="equal">
      <formula>$H$69</formula>
    </cfRule>
  </conditionalFormatting>
  <conditionalFormatting sqref="B28">
    <cfRule type="cellIs" dxfId="30" priority="35" operator="equal">
      <formula>$H$70</formula>
    </cfRule>
  </conditionalFormatting>
  <conditionalFormatting sqref="B29">
    <cfRule type="cellIs" dxfId="29" priority="34" operator="equal">
      <formula>$H$71</formula>
    </cfRule>
  </conditionalFormatting>
  <conditionalFormatting sqref="B30">
    <cfRule type="cellIs" dxfId="28" priority="33" operator="equal">
      <formula>$H$72</formula>
    </cfRule>
  </conditionalFormatting>
  <conditionalFormatting sqref="B31">
    <cfRule type="cellIs" dxfId="27" priority="32" operator="equal">
      <formula>$H$73</formula>
    </cfRule>
  </conditionalFormatting>
  <conditionalFormatting sqref="B32">
    <cfRule type="cellIs" dxfId="26" priority="31" operator="equal">
      <formula>$H$74</formula>
    </cfRule>
  </conditionalFormatting>
  <conditionalFormatting sqref="B33">
    <cfRule type="cellIs" dxfId="25" priority="30" operator="equal">
      <formula>$H$75</formula>
    </cfRule>
  </conditionalFormatting>
  <conditionalFormatting sqref="B34">
    <cfRule type="cellIs" dxfId="24" priority="29" operator="equal">
      <formula>$H$76</formula>
    </cfRule>
  </conditionalFormatting>
  <conditionalFormatting sqref="B35">
    <cfRule type="cellIs" dxfId="23" priority="28" operator="equal">
      <formula>$H$77</formula>
    </cfRule>
  </conditionalFormatting>
  <conditionalFormatting sqref="B36">
    <cfRule type="cellIs" dxfId="22" priority="27" operator="equal">
      <formula>$H$78</formula>
    </cfRule>
  </conditionalFormatting>
  <conditionalFormatting sqref="B37:B38">
    <cfRule type="cellIs" dxfId="21" priority="26" operator="equal">
      <formula>$H$79</formula>
    </cfRule>
  </conditionalFormatting>
  <conditionalFormatting sqref="B39">
    <cfRule type="cellIs" dxfId="20" priority="25" operator="equal">
      <formula>$H$81</formula>
    </cfRule>
  </conditionalFormatting>
  <conditionalFormatting sqref="B40">
    <cfRule type="cellIs" dxfId="19" priority="24" operator="equal">
      <formula>$H$82</formula>
    </cfRule>
  </conditionalFormatting>
  <conditionalFormatting sqref="B41">
    <cfRule type="cellIs" dxfId="18" priority="21" operator="equal">
      <formula>$H$83</formula>
    </cfRule>
  </conditionalFormatting>
  <conditionalFormatting sqref="B42:B46">
    <cfRule type="cellIs" dxfId="17" priority="23" operator="equal">
      <formula>$H$84</formula>
    </cfRule>
  </conditionalFormatting>
  <conditionalFormatting sqref="B3">
    <cfRule type="cellIs" dxfId="16" priority="20" operator="equal">
      <formula>$H$45</formula>
    </cfRule>
  </conditionalFormatting>
  <conditionalFormatting sqref="B5">
    <cfRule type="cellIs" dxfId="15" priority="18" operator="equal">
      <formula>$H$47</formula>
    </cfRule>
  </conditionalFormatting>
  <conditionalFormatting sqref="B6">
    <cfRule type="cellIs" dxfId="14" priority="17" operator="equal">
      <formula>$H$48</formula>
    </cfRule>
  </conditionalFormatting>
  <conditionalFormatting sqref="B7">
    <cfRule type="cellIs" dxfId="13" priority="16" operator="equal">
      <formula>$H$49</formula>
    </cfRule>
  </conditionalFormatting>
  <conditionalFormatting sqref="B37">
    <cfRule type="cellIs" dxfId="12" priority="4" operator="equal">
      <formula>$H$79</formula>
    </cfRule>
  </conditionalFormatting>
  <conditionalFormatting sqref="B38">
    <cfRule type="cellIs" dxfId="11" priority="2" operator="equal">
      <formula>$H$80</formula>
    </cfRule>
    <cfRule type="cellIs" dxfId="10" priority="3" operator="equal">
      <formula>$H$80</formula>
    </cfRule>
  </conditionalFormatting>
  <conditionalFormatting sqref="B47">
    <cfRule type="cellIs" dxfId="9" priority="1" operator="equal">
      <formula>$H$89</formula>
    </cfRule>
  </conditionalFormatting>
  <hyperlinks>
    <hyperlink ref="Q37" r:id="rId1" display="mailto:ross@jimsroofing.com.au" xr:uid="{3C34BEC5-603D-FC46-8A40-7795001E8C2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22F49-D07B-A24C-AF95-2A0B1C5D6D73}">
  <dimension ref="A2:M61"/>
  <sheetViews>
    <sheetView tabSelected="1" topLeftCell="A2" workbookViewId="0">
      <selection activeCell="L9" sqref="L9"/>
    </sheetView>
  </sheetViews>
  <sheetFormatPr baseColWidth="10" defaultRowHeight="16" x14ac:dyDescent="0.2"/>
  <cols>
    <col min="1" max="1" width="25.1640625" bestFit="1" customWidth="1"/>
    <col min="2" max="2" width="9" customWidth="1"/>
    <col min="12" max="12" width="12.33203125" customWidth="1"/>
  </cols>
  <sheetData>
    <row r="2" spans="1:13" ht="34" x14ac:dyDescent="0.2">
      <c r="A2" s="2" t="s">
        <v>68</v>
      </c>
      <c r="B2" s="9" t="s">
        <v>64</v>
      </c>
      <c r="C2" s="60" t="s">
        <v>80</v>
      </c>
      <c r="D2" s="60"/>
      <c r="E2" s="60"/>
      <c r="F2" s="60"/>
      <c r="G2" s="60"/>
      <c r="H2" s="60"/>
      <c r="I2" s="60"/>
      <c r="J2" s="60"/>
      <c r="K2" s="60"/>
    </row>
    <row r="3" spans="1:13" x14ac:dyDescent="0.2">
      <c r="A3" t="s">
        <v>65</v>
      </c>
      <c r="C3" s="1">
        <v>45664</v>
      </c>
      <c r="D3" s="1">
        <v>45678</v>
      </c>
      <c r="E3" s="1">
        <v>45692</v>
      </c>
      <c r="F3" s="1">
        <v>45706</v>
      </c>
      <c r="G3" s="1">
        <v>45720</v>
      </c>
      <c r="H3" s="1">
        <v>45734</v>
      </c>
      <c r="I3" s="1">
        <v>45748</v>
      </c>
      <c r="J3" s="1">
        <v>45762</v>
      </c>
      <c r="K3" s="1">
        <v>45776</v>
      </c>
      <c r="M3">
        <f>COUNTA(C3:K3)</f>
        <v>9</v>
      </c>
    </row>
    <row r="4" spans="1:13" x14ac:dyDescent="0.2">
      <c r="A4" t="s">
        <v>66</v>
      </c>
      <c r="B4" s="11"/>
      <c r="C4" s="1">
        <v>45790</v>
      </c>
      <c r="D4" s="1">
        <v>45804</v>
      </c>
      <c r="E4" s="1">
        <v>45825</v>
      </c>
      <c r="F4" s="1">
        <v>45839</v>
      </c>
      <c r="G4" s="1">
        <v>45853</v>
      </c>
      <c r="H4" s="1">
        <v>45867</v>
      </c>
      <c r="I4" s="1">
        <v>45881</v>
      </c>
      <c r="J4" s="1">
        <v>45864</v>
      </c>
      <c r="M4">
        <f t="shared" ref="M4" si="0">COUNTA(C4:L4)</f>
        <v>8</v>
      </c>
    </row>
    <row r="5" spans="1:13" ht="17" thickBot="1" x14ac:dyDescent="0.25">
      <c r="A5" t="s">
        <v>67</v>
      </c>
      <c r="B5" s="11"/>
      <c r="C5" s="1">
        <v>45909</v>
      </c>
      <c r="D5" s="1">
        <v>45916</v>
      </c>
      <c r="E5" s="1">
        <v>45930</v>
      </c>
      <c r="F5" s="1">
        <v>45944</v>
      </c>
      <c r="G5" s="1">
        <v>45958</v>
      </c>
      <c r="H5" s="1">
        <v>45979</v>
      </c>
      <c r="I5" s="1">
        <v>45993</v>
      </c>
      <c r="J5" s="1">
        <v>46007</v>
      </c>
      <c r="M5">
        <f t="shared" ref="M5:M11" si="1">COUNTA(C5:L5)</f>
        <v>8</v>
      </c>
    </row>
    <row r="6" spans="1:13" ht="17" thickBot="1" x14ac:dyDescent="0.25">
      <c r="B6" s="8">
        <v>25</v>
      </c>
      <c r="M6" s="90">
        <f>SUM(M3:M5)</f>
        <v>25</v>
      </c>
    </row>
    <row r="7" spans="1:13" ht="17" thickBot="1" x14ac:dyDescent="0.25">
      <c r="B7" s="11"/>
    </row>
    <row r="8" spans="1:13" ht="17" thickBot="1" x14ac:dyDescent="0.25">
      <c r="A8" t="s">
        <v>19</v>
      </c>
      <c r="B8" s="91">
        <v>10</v>
      </c>
      <c r="C8" s="86">
        <v>45671</v>
      </c>
      <c r="D8" s="86">
        <v>45741</v>
      </c>
      <c r="E8" s="86">
        <v>45797</v>
      </c>
      <c r="F8" s="86">
        <v>45832</v>
      </c>
      <c r="G8" s="86">
        <v>45867</v>
      </c>
      <c r="H8" s="86">
        <v>45888</v>
      </c>
      <c r="I8" s="86">
        <v>45923</v>
      </c>
      <c r="J8" s="86">
        <v>45951</v>
      </c>
      <c r="K8" s="86">
        <v>45986</v>
      </c>
      <c r="L8" s="86">
        <v>46007</v>
      </c>
      <c r="M8" s="90">
        <f t="shared" si="1"/>
        <v>10</v>
      </c>
    </row>
    <row r="9" spans="1:13" ht="17" thickBot="1" x14ac:dyDescent="0.25">
      <c r="A9" t="s">
        <v>21</v>
      </c>
      <c r="B9" s="92">
        <v>6</v>
      </c>
      <c r="C9" s="86">
        <v>45713</v>
      </c>
      <c r="D9" s="86">
        <v>45727</v>
      </c>
      <c r="E9" s="86">
        <v>45811</v>
      </c>
      <c r="F9" s="86">
        <v>45902</v>
      </c>
      <c r="G9" s="86">
        <v>45937</v>
      </c>
      <c r="H9" s="86">
        <v>46000</v>
      </c>
      <c r="M9" s="90">
        <f t="shared" si="1"/>
        <v>6</v>
      </c>
    </row>
    <row r="10" spans="1:13" ht="17" thickBot="1" x14ac:dyDescent="0.25">
      <c r="A10" t="s">
        <v>33</v>
      </c>
      <c r="B10" s="92">
        <v>5</v>
      </c>
      <c r="C10" s="1">
        <v>45685</v>
      </c>
      <c r="D10" s="1">
        <v>45783</v>
      </c>
      <c r="E10" s="1">
        <v>45874</v>
      </c>
      <c r="F10" s="1">
        <v>45966</v>
      </c>
      <c r="G10" s="1">
        <v>45986</v>
      </c>
      <c r="M10" s="90">
        <f t="shared" si="1"/>
        <v>5</v>
      </c>
    </row>
    <row r="11" spans="1:13" ht="17" thickBot="1" x14ac:dyDescent="0.25">
      <c r="A11" t="s">
        <v>35</v>
      </c>
      <c r="B11" s="92">
        <v>2</v>
      </c>
      <c r="C11" s="1">
        <v>45769</v>
      </c>
      <c r="D11" s="1">
        <v>45888</v>
      </c>
      <c r="M11" s="90">
        <f t="shared" si="1"/>
        <v>2</v>
      </c>
    </row>
    <row r="17" spans="2:3" x14ac:dyDescent="0.2">
      <c r="B17" s="1"/>
      <c r="C17" s="1"/>
    </row>
    <row r="18" spans="2:3" x14ac:dyDescent="0.2">
      <c r="B18" s="1"/>
      <c r="C18" s="1"/>
    </row>
    <row r="19" spans="2:3" x14ac:dyDescent="0.2">
      <c r="B19" s="1"/>
      <c r="C19" s="1"/>
    </row>
    <row r="20" spans="2:3" x14ac:dyDescent="0.2">
      <c r="B20" s="1"/>
      <c r="C20" s="1"/>
    </row>
    <row r="21" spans="2:3" x14ac:dyDescent="0.2">
      <c r="B21" s="1"/>
      <c r="C21" s="1"/>
    </row>
    <row r="22" spans="2:3" x14ac:dyDescent="0.2">
      <c r="B22" s="1"/>
      <c r="C22" s="1"/>
    </row>
    <row r="23" spans="2:3" x14ac:dyDescent="0.2">
      <c r="B23" s="1"/>
      <c r="C23" s="1"/>
    </row>
    <row r="24" spans="2:3" x14ac:dyDescent="0.2">
      <c r="B24" s="1"/>
      <c r="C24" s="1"/>
    </row>
    <row r="25" spans="2:3" x14ac:dyDescent="0.2">
      <c r="B25" s="1"/>
      <c r="C25" s="1"/>
    </row>
    <row r="26" spans="2:3" x14ac:dyDescent="0.2">
      <c r="B26" s="1"/>
      <c r="C26" s="1"/>
    </row>
    <row r="27" spans="2:3" x14ac:dyDescent="0.2">
      <c r="B27" s="1"/>
      <c r="C27" s="1"/>
    </row>
    <row r="28" spans="2:3" x14ac:dyDescent="0.2">
      <c r="B28" s="1"/>
      <c r="C28" s="1"/>
    </row>
    <row r="29" spans="2:3" x14ac:dyDescent="0.2">
      <c r="B29" s="1"/>
      <c r="C29" s="1"/>
    </row>
    <row r="30" spans="2:3" x14ac:dyDescent="0.2">
      <c r="B30" s="1"/>
      <c r="C30" s="1"/>
    </row>
    <row r="31" spans="2:3" x14ac:dyDescent="0.2">
      <c r="B31" s="1"/>
      <c r="C31" s="1"/>
    </row>
    <row r="32" spans="2:3" x14ac:dyDescent="0.2">
      <c r="B32" s="1"/>
      <c r="C32" s="1"/>
    </row>
    <row r="33" spans="2:3" x14ac:dyDescent="0.2">
      <c r="B33" s="1"/>
      <c r="C33" s="1"/>
    </row>
    <row r="34" spans="2:3" x14ac:dyDescent="0.2">
      <c r="B34" s="1"/>
      <c r="C34" s="1"/>
    </row>
    <row r="35" spans="2:3" x14ac:dyDescent="0.2">
      <c r="B35" s="1"/>
      <c r="C35" s="1"/>
    </row>
    <row r="36" spans="2:3" x14ac:dyDescent="0.2">
      <c r="B36" s="1"/>
      <c r="C36" s="1"/>
    </row>
    <row r="37" spans="2:3" x14ac:dyDescent="0.2">
      <c r="B37" s="1"/>
      <c r="C37" s="1"/>
    </row>
    <row r="38" spans="2:3" x14ac:dyDescent="0.2">
      <c r="B38" s="1"/>
      <c r="C38" s="1"/>
    </row>
    <row r="39" spans="2:3" x14ac:dyDescent="0.2">
      <c r="B39" s="1"/>
      <c r="C39" s="1"/>
    </row>
    <row r="40" spans="2:3" x14ac:dyDescent="0.2">
      <c r="B40" s="1"/>
      <c r="C40" s="1"/>
    </row>
    <row r="41" spans="2:3" x14ac:dyDescent="0.2">
      <c r="B41" s="1"/>
      <c r="C41" s="1"/>
    </row>
    <row r="42" spans="2:3" x14ac:dyDescent="0.2">
      <c r="B42" s="1"/>
      <c r="C42" s="1"/>
    </row>
    <row r="43" spans="2:3" x14ac:dyDescent="0.2">
      <c r="B43" s="1"/>
      <c r="C43" s="1"/>
    </row>
    <row r="44" spans="2:3" x14ac:dyDescent="0.2">
      <c r="B44" s="1"/>
      <c r="C44" s="1"/>
    </row>
    <row r="45" spans="2:3" x14ac:dyDescent="0.2">
      <c r="B45" s="1"/>
      <c r="C45" s="1"/>
    </row>
    <row r="46" spans="2:3" x14ac:dyDescent="0.2">
      <c r="B46" s="1"/>
      <c r="C46" s="1"/>
    </row>
    <row r="47" spans="2:3" x14ac:dyDescent="0.2">
      <c r="B47" s="1"/>
      <c r="C47" s="1"/>
    </row>
    <row r="48" spans="2:3" x14ac:dyDescent="0.2">
      <c r="B48" s="1"/>
      <c r="C48" s="1"/>
    </row>
    <row r="49" spans="2:3" x14ac:dyDescent="0.2">
      <c r="B49" s="1"/>
      <c r="C49" s="1"/>
    </row>
    <row r="50" spans="2:3" x14ac:dyDescent="0.2">
      <c r="B50" s="1"/>
      <c r="C50" s="1"/>
    </row>
    <row r="51" spans="2:3" x14ac:dyDescent="0.2">
      <c r="B51" s="1"/>
      <c r="C51" s="1"/>
    </row>
    <row r="52" spans="2:3" x14ac:dyDescent="0.2">
      <c r="B52" s="1"/>
      <c r="C52" s="1"/>
    </row>
    <row r="53" spans="2:3" x14ac:dyDescent="0.2">
      <c r="B53" s="1"/>
      <c r="C53" s="1"/>
    </row>
    <row r="54" spans="2:3" x14ac:dyDescent="0.2">
      <c r="B54" s="1"/>
      <c r="C54" s="1"/>
    </row>
    <row r="55" spans="2:3" x14ac:dyDescent="0.2">
      <c r="B55" s="1"/>
      <c r="C55" s="1"/>
    </row>
    <row r="56" spans="2:3" x14ac:dyDescent="0.2">
      <c r="B56" s="1"/>
      <c r="C56" s="1"/>
    </row>
    <row r="57" spans="2:3" x14ac:dyDescent="0.2">
      <c r="B57" s="1"/>
      <c r="C57" s="1"/>
    </row>
    <row r="58" spans="2:3" x14ac:dyDescent="0.2">
      <c r="B58" s="1"/>
      <c r="C58" s="1"/>
    </row>
    <row r="59" spans="2:3" x14ac:dyDescent="0.2">
      <c r="B59" s="1"/>
      <c r="C59" s="1"/>
    </row>
    <row r="60" spans="2:3" x14ac:dyDescent="0.2">
      <c r="B60" s="1"/>
      <c r="C60" s="1"/>
    </row>
    <row r="61" spans="2:3" x14ac:dyDescent="0.2">
      <c r="B61" s="1"/>
      <c r="C61" s="1"/>
    </row>
  </sheetData>
  <sortState xmlns:xlrd2="http://schemas.microsoft.com/office/spreadsheetml/2017/richdata2" ref="A17:C61">
    <sortCondition ref="C17:C61"/>
  </sortState>
  <mergeCells count="1">
    <mergeCell ref="C2:K2"/>
  </mergeCells>
  <conditionalFormatting sqref="B8">
    <cfRule type="cellIs" dxfId="8" priority="9" operator="equal">
      <formula>$H$45</formula>
    </cfRule>
  </conditionalFormatting>
  <conditionalFormatting sqref="B8">
    <cfRule type="cellIs" dxfId="7" priority="7" operator="equal">
      <formula>$H$46</formula>
    </cfRule>
    <cfRule type="cellIs" dxfId="6" priority="8" operator="equal">
      <formula>$H$46</formula>
    </cfRule>
  </conditionalFormatting>
  <conditionalFormatting sqref="B8">
    <cfRule type="cellIs" dxfId="5" priority="6" operator="equal">
      <formula>$H$48</formula>
    </cfRule>
  </conditionalFormatting>
  <conditionalFormatting sqref="B9">
    <cfRule type="cellIs" dxfId="4" priority="4" operator="equal">
      <formula>$H$52</formula>
    </cfRule>
    <cfRule type="cellIs" dxfId="3" priority="5" operator="equal">
      <formula>$H$52</formula>
    </cfRule>
  </conditionalFormatting>
  <conditionalFormatting sqref="B10">
    <cfRule type="cellIs" dxfId="2" priority="2" operator="equal">
      <formula>$H$56</formula>
    </cfRule>
    <cfRule type="cellIs" dxfId="1" priority="3" operator="equal">
      <formula>$H$56</formula>
    </cfRule>
  </conditionalFormatting>
  <conditionalFormatting sqref="B11">
    <cfRule type="cellIs" dxfId="0" priority="1" operator="equal">
      <formula>$H$75</formula>
    </cfRule>
  </conditionalFormatting>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FEAAB-4698-7048-B58E-72666FDB1B3B}">
  <dimension ref="A2:N6"/>
  <sheetViews>
    <sheetView workbookViewId="0">
      <selection activeCell="E9" sqref="E9"/>
    </sheetView>
  </sheetViews>
  <sheetFormatPr baseColWidth="10" defaultRowHeight="16" x14ac:dyDescent="0.2"/>
  <cols>
    <col min="1" max="1" width="25.1640625" bestFit="1" customWidth="1"/>
    <col min="2" max="2" width="9" customWidth="1"/>
  </cols>
  <sheetData>
    <row r="2" spans="1:14" ht="34" x14ac:dyDescent="0.2">
      <c r="A2" s="2" t="s">
        <v>7</v>
      </c>
      <c r="B2" s="9" t="s">
        <v>64</v>
      </c>
      <c r="C2" s="60" t="s">
        <v>80</v>
      </c>
      <c r="D2" s="60"/>
      <c r="E2" s="60"/>
      <c r="F2" s="60"/>
      <c r="G2" s="60"/>
      <c r="H2" s="60"/>
      <c r="I2" s="60"/>
      <c r="J2" s="60"/>
      <c r="K2" s="60"/>
      <c r="N2" t="s">
        <v>46</v>
      </c>
    </row>
    <row r="3" spans="1:14" x14ac:dyDescent="0.2">
      <c r="A3" t="s">
        <v>69</v>
      </c>
      <c r="B3" s="94"/>
      <c r="C3" s="1">
        <v>45664</v>
      </c>
      <c r="D3" s="1">
        <v>45678</v>
      </c>
      <c r="E3" s="1">
        <v>45685</v>
      </c>
      <c r="F3" s="1">
        <v>45699</v>
      </c>
      <c r="G3" s="1">
        <v>45713</v>
      </c>
      <c r="H3" s="1">
        <v>45727</v>
      </c>
      <c r="I3" s="1">
        <v>45741</v>
      </c>
      <c r="J3" s="1">
        <v>45755</v>
      </c>
      <c r="K3" s="1">
        <v>45769</v>
      </c>
      <c r="L3" s="1"/>
      <c r="N3">
        <f>COUNTA(C3:L3)</f>
        <v>9</v>
      </c>
    </row>
    <row r="4" spans="1:14" x14ac:dyDescent="0.2">
      <c r="A4" t="s">
        <v>70</v>
      </c>
      <c r="B4" s="94"/>
      <c r="C4" s="1">
        <v>45783</v>
      </c>
      <c r="D4" s="1">
        <v>45797</v>
      </c>
      <c r="E4" s="1">
        <v>45818</v>
      </c>
      <c r="F4" s="1">
        <v>45832</v>
      </c>
      <c r="G4" s="1">
        <v>45846</v>
      </c>
      <c r="H4" s="1">
        <f t="shared" ref="F4:I4" si="0">G4+14</f>
        <v>45860</v>
      </c>
      <c r="I4" s="1">
        <f t="shared" si="0"/>
        <v>45874</v>
      </c>
      <c r="J4" s="1">
        <f t="shared" ref="J4" si="1">I4+14</f>
        <v>45888</v>
      </c>
      <c r="K4" s="1"/>
      <c r="N4">
        <f t="shared" ref="N4:N5" si="2">COUNTA(C4:L4)</f>
        <v>8</v>
      </c>
    </row>
    <row r="5" spans="1:14" ht="17" thickBot="1" x14ac:dyDescent="0.25">
      <c r="A5" t="s">
        <v>71</v>
      </c>
      <c r="B5" s="94"/>
      <c r="C5" s="1">
        <v>45909</v>
      </c>
      <c r="D5" s="1">
        <f>C5+14</f>
        <v>45923</v>
      </c>
      <c r="E5" s="1">
        <f t="shared" ref="E5:I5" si="3">D5+14</f>
        <v>45937</v>
      </c>
      <c r="F5" s="1">
        <f t="shared" si="3"/>
        <v>45951</v>
      </c>
      <c r="G5" s="1">
        <v>45972</v>
      </c>
      <c r="H5" s="1">
        <v>45986</v>
      </c>
      <c r="I5" s="1">
        <f t="shared" si="3"/>
        <v>46000</v>
      </c>
      <c r="J5" s="1">
        <v>46007</v>
      </c>
      <c r="K5" s="1"/>
      <c r="N5">
        <f t="shared" si="2"/>
        <v>8</v>
      </c>
    </row>
    <row r="6" spans="1:14" ht="17" thickBot="1" x14ac:dyDescent="0.25">
      <c r="B6" s="93">
        <v>25</v>
      </c>
      <c r="N6" s="90">
        <f>SUM(N3:N5)</f>
        <v>25</v>
      </c>
    </row>
  </sheetData>
  <mergeCells count="1">
    <mergeCell ref="C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Intro</vt:lpstr>
      <vt:lpstr>2025 Calendar</vt:lpstr>
      <vt:lpstr>By Division 2025</vt:lpstr>
      <vt:lpstr>Cleaning Group</vt:lpstr>
      <vt:lpstr>Mowing</vt:lpstr>
      <vt:lpstr>BlogsJanApril</vt:lpstr>
      <vt:lpstr>BlogsMayAug</vt:lpstr>
      <vt:lpstr>BlogsSepDec</vt:lpstr>
      <vt:lpstr>ButtonsJanApril</vt:lpstr>
      <vt:lpstr>ButtonsMayAug</vt:lpstr>
      <vt:lpstr>ButtonsOctDec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Jenni Tham</cp:lastModifiedBy>
  <dcterms:created xsi:type="dcterms:W3CDTF">2022-12-07T02:13:41Z</dcterms:created>
  <dcterms:modified xsi:type="dcterms:W3CDTF">2024-11-29T03:11:54Z</dcterms:modified>
</cp:coreProperties>
</file>