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nnitham/Dropbox (Elemental Solutions)/"/>
    </mc:Choice>
  </mc:AlternateContent>
  <xr:revisionPtr revIDLastSave="0" documentId="13_ncr:1_{96E687C8-AB89-8743-8BC0-6FDEEA322B23}" xr6:coauthVersionLast="45" xr6:coauthVersionMax="45" xr10:uidLastSave="{00000000-0000-0000-0000-000000000000}"/>
  <bookViews>
    <workbookView xWindow="0" yWindow="500" windowWidth="28800" windowHeight="15760" xr2:uid="{B94175EC-3D1B-0E47-ADE8-BC052A948420}"/>
  </bookViews>
  <sheets>
    <sheet name="Intro" sheetId="8" r:id="rId1"/>
    <sheet name="2024 Calendar" sheetId="1" r:id="rId2"/>
    <sheet name="By Division 2024" sheetId="7" r:id="rId3"/>
    <sheet name="Cleaning Group" sheetId="4" r:id="rId4"/>
    <sheet name="Mowing" sheetId="6" r:id="rId5"/>
  </sheets>
  <definedNames>
    <definedName name="ButtonsJanApril">'2024 Calendar'!$B$8:$W$13</definedName>
    <definedName name="ButtonsMayAug">'2024 Calendar'!$B$22:$W$27</definedName>
    <definedName name="ButtonsSepDec">'2024 Calendar'!$B$36:$V$41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6" l="1"/>
  <c r="N3" i="6" s="1"/>
  <c r="E5" i="6"/>
  <c r="F5" i="6" s="1"/>
  <c r="I5" i="6" s="1"/>
  <c r="D5" i="6"/>
  <c r="F4" i="6"/>
  <c r="G4" i="6" s="1"/>
  <c r="H4" i="6" s="1"/>
  <c r="I4" i="6" s="1"/>
  <c r="E4" i="6"/>
  <c r="H3" i="6"/>
  <c r="I3" i="6" s="1"/>
  <c r="J3" i="6" s="1"/>
  <c r="K3" i="6" s="1"/>
  <c r="G3" i="6"/>
  <c r="D5" i="4"/>
  <c r="D4" i="4"/>
  <c r="I3" i="4"/>
  <c r="J3" i="4" s="1"/>
  <c r="M11" i="4"/>
  <c r="M10" i="4"/>
  <c r="M9" i="4"/>
  <c r="M8" i="4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4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5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" i="7"/>
  <c r="J46" i="1"/>
  <c r="J45" i="1"/>
  <c r="J44" i="1"/>
  <c r="J79" i="1"/>
  <c r="F82" i="1"/>
  <c r="F79" i="1"/>
  <c r="F65" i="1"/>
  <c r="F67" i="1"/>
  <c r="E82" i="1"/>
  <c r="E79" i="1"/>
  <c r="E68" i="1"/>
  <c r="D79" i="1"/>
  <c r="L83" i="1"/>
  <c r="K83" i="1"/>
  <c r="J83" i="1"/>
  <c r="L82" i="1"/>
  <c r="K82" i="1"/>
  <c r="J82" i="1"/>
  <c r="E83" i="1"/>
  <c r="F83" i="1"/>
  <c r="D82" i="1"/>
  <c r="D83" i="1"/>
  <c r="H82" i="1" l="1"/>
  <c r="E5" i="4"/>
  <c r="F5" i="4" s="1"/>
  <c r="G5" i="4" s="1"/>
  <c r="H5" i="4" s="1"/>
  <c r="I5" i="4" s="1"/>
  <c r="E4" i="4"/>
  <c r="F4" i="4" s="1"/>
  <c r="G4" i="4" s="1"/>
  <c r="H4" i="4" s="1"/>
  <c r="I4" i="4" s="1"/>
  <c r="J4" i="4" s="1"/>
  <c r="N4" i="6"/>
  <c r="K3" i="4"/>
  <c r="M3" i="4" s="1"/>
  <c r="N43" i="7"/>
  <c r="N83" i="1"/>
  <c r="N82" i="1"/>
  <c r="L79" i="1"/>
  <c r="K79" i="1"/>
  <c r="L78" i="1"/>
  <c r="K78" i="1"/>
  <c r="J78" i="1"/>
  <c r="F78" i="1"/>
  <c r="E78" i="1"/>
  <c r="D78" i="1"/>
  <c r="M5" i="4" l="1"/>
  <c r="M4" i="4"/>
  <c r="M6" i="4" s="1"/>
  <c r="N79" i="1"/>
  <c r="N78" i="1"/>
  <c r="H79" i="1"/>
  <c r="L81" i="1"/>
  <c r="K81" i="1"/>
  <c r="J81" i="1"/>
  <c r="L80" i="1"/>
  <c r="K80" i="1"/>
  <c r="J80" i="1"/>
  <c r="L77" i="1"/>
  <c r="K77" i="1"/>
  <c r="J77" i="1"/>
  <c r="L76" i="1"/>
  <c r="K76" i="1"/>
  <c r="J76" i="1"/>
  <c r="L75" i="1"/>
  <c r="K75" i="1"/>
  <c r="J75" i="1"/>
  <c r="L74" i="1"/>
  <c r="K74" i="1"/>
  <c r="J74" i="1"/>
  <c r="L73" i="1"/>
  <c r="K73" i="1"/>
  <c r="J73" i="1"/>
  <c r="L72" i="1"/>
  <c r="K72" i="1"/>
  <c r="J72" i="1"/>
  <c r="L71" i="1"/>
  <c r="K71" i="1"/>
  <c r="J71" i="1"/>
  <c r="L70" i="1"/>
  <c r="K70" i="1"/>
  <c r="J70" i="1"/>
  <c r="L69" i="1"/>
  <c r="K69" i="1"/>
  <c r="J69" i="1"/>
  <c r="L68" i="1"/>
  <c r="K68" i="1"/>
  <c r="J68" i="1"/>
  <c r="L67" i="1"/>
  <c r="K67" i="1"/>
  <c r="J67" i="1"/>
  <c r="L66" i="1"/>
  <c r="K66" i="1"/>
  <c r="J66" i="1"/>
  <c r="L65" i="1"/>
  <c r="K65" i="1"/>
  <c r="J65" i="1"/>
  <c r="L64" i="1"/>
  <c r="K64" i="1"/>
  <c r="J64" i="1"/>
  <c r="L63" i="1"/>
  <c r="K63" i="1"/>
  <c r="J63" i="1"/>
  <c r="L62" i="1"/>
  <c r="K62" i="1"/>
  <c r="J62" i="1"/>
  <c r="L61" i="1"/>
  <c r="K61" i="1"/>
  <c r="J61" i="1"/>
  <c r="L60" i="1"/>
  <c r="K60" i="1"/>
  <c r="J60" i="1"/>
  <c r="L59" i="1"/>
  <c r="K59" i="1"/>
  <c r="J59" i="1"/>
  <c r="L58" i="1"/>
  <c r="K58" i="1"/>
  <c r="J58" i="1"/>
  <c r="L57" i="1"/>
  <c r="K57" i="1"/>
  <c r="J57" i="1"/>
  <c r="L56" i="1"/>
  <c r="K56" i="1"/>
  <c r="J56" i="1"/>
  <c r="L55" i="1"/>
  <c r="K55" i="1"/>
  <c r="J55" i="1"/>
  <c r="L54" i="1"/>
  <c r="K54" i="1"/>
  <c r="J54" i="1"/>
  <c r="L53" i="1"/>
  <c r="K53" i="1"/>
  <c r="J53" i="1"/>
  <c r="L52" i="1"/>
  <c r="K52" i="1"/>
  <c r="J52" i="1"/>
  <c r="L51" i="1"/>
  <c r="K51" i="1"/>
  <c r="J51" i="1"/>
  <c r="L50" i="1"/>
  <c r="K50" i="1"/>
  <c r="J50" i="1"/>
  <c r="L49" i="1"/>
  <c r="K49" i="1"/>
  <c r="J49" i="1"/>
  <c r="L48" i="1"/>
  <c r="K48" i="1"/>
  <c r="J48" i="1"/>
  <c r="L47" i="1"/>
  <c r="K47" i="1"/>
  <c r="J47" i="1"/>
  <c r="L46" i="1"/>
  <c r="K46" i="1"/>
  <c r="L45" i="1"/>
  <c r="K45" i="1"/>
  <c r="L44" i="1"/>
  <c r="K44" i="1"/>
  <c r="N46" i="1" l="1"/>
  <c r="O49" i="1"/>
  <c r="N5" i="6"/>
  <c r="N6" i="6" s="1"/>
  <c r="N44" i="1"/>
  <c r="N56" i="1"/>
  <c r="N60" i="1"/>
  <c r="N64" i="1"/>
  <c r="N68" i="1"/>
  <c r="N72" i="1"/>
  <c r="N76" i="1"/>
  <c r="N47" i="1"/>
  <c r="O50" i="1"/>
  <c r="N51" i="1"/>
  <c r="N55" i="1"/>
  <c r="N59" i="1"/>
  <c r="N63" i="1"/>
  <c r="N67" i="1"/>
  <c r="N71" i="1"/>
  <c r="N75" i="1"/>
  <c r="N81" i="1"/>
  <c r="N45" i="1"/>
  <c r="N54" i="1"/>
  <c r="N62" i="1"/>
  <c r="N70" i="1"/>
  <c r="N80" i="1"/>
  <c r="N49" i="1"/>
  <c r="N53" i="1"/>
  <c r="N57" i="1"/>
  <c r="N61" i="1"/>
  <c r="N65" i="1"/>
  <c r="N69" i="1"/>
  <c r="N73" i="1"/>
  <c r="N77" i="1"/>
  <c r="N50" i="1"/>
  <c r="N58" i="1"/>
  <c r="N66" i="1"/>
  <c r="N74" i="1"/>
  <c r="N48" i="1"/>
  <c r="N52" i="1"/>
  <c r="O86" i="1" l="1"/>
  <c r="N86" i="1"/>
  <c r="F81" i="1" l="1"/>
  <c r="E81" i="1"/>
  <c r="D81" i="1"/>
  <c r="F80" i="1"/>
  <c r="E80" i="1"/>
  <c r="D80" i="1"/>
  <c r="F77" i="1"/>
  <c r="E77" i="1"/>
  <c r="D77" i="1"/>
  <c r="F75" i="1"/>
  <c r="E75" i="1"/>
  <c r="D75" i="1"/>
  <c r="F74" i="1"/>
  <c r="E74" i="1"/>
  <c r="D74" i="1"/>
  <c r="F73" i="1"/>
  <c r="E73" i="1"/>
  <c r="D73" i="1"/>
  <c r="F72" i="1"/>
  <c r="E72" i="1"/>
  <c r="D72" i="1"/>
  <c r="F71" i="1"/>
  <c r="E71" i="1"/>
  <c r="D71" i="1"/>
  <c r="F70" i="1"/>
  <c r="E70" i="1"/>
  <c r="D70" i="1"/>
  <c r="F69" i="1"/>
  <c r="E69" i="1"/>
  <c r="D69" i="1"/>
  <c r="F68" i="1"/>
  <c r="D68" i="1"/>
  <c r="F66" i="1"/>
  <c r="E66" i="1"/>
  <c r="D66" i="1"/>
  <c r="F64" i="1"/>
  <c r="E64" i="1"/>
  <c r="D64" i="1"/>
  <c r="F63" i="1"/>
  <c r="E63" i="1"/>
  <c r="D63" i="1"/>
  <c r="F62" i="1"/>
  <c r="E62" i="1"/>
  <c r="D62" i="1"/>
  <c r="F61" i="1"/>
  <c r="E61" i="1"/>
  <c r="D61" i="1"/>
  <c r="F60" i="1"/>
  <c r="E60" i="1"/>
  <c r="D60" i="1"/>
  <c r="F59" i="1"/>
  <c r="E59" i="1"/>
  <c r="D59" i="1"/>
  <c r="F58" i="1"/>
  <c r="E58" i="1"/>
  <c r="D58" i="1"/>
  <c r="F57" i="1"/>
  <c r="E57" i="1"/>
  <c r="E56" i="1"/>
  <c r="D56" i="1"/>
  <c r="D57" i="1"/>
  <c r="F56" i="1"/>
  <c r="F55" i="1"/>
  <c r="E55" i="1"/>
  <c r="D55" i="1"/>
  <c r="F53" i="1"/>
  <c r="E53" i="1"/>
  <c r="D53" i="1"/>
  <c r="E67" i="1"/>
  <c r="D67" i="1"/>
  <c r="E65" i="1"/>
  <c r="D65" i="1"/>
  <c r="F52" i="1"/>
  <c r="E52" i="1"/>
  <c r="E51" i="1"/>
  <c r="D52" i="1"/>
  <c r="D51" i="1"/>
  <c r="F51" i="1"/>
  <c r="F76" i="1"/>
  <c r="E76" i="1"/>
  <c r="D76" i="1"/>
  <c r="F50" i="1"/>
  <c r="E50" i="1"/>
  <c r="D50" i="1"/>
  <c r="F49" i="1"/>
  <c r="E49" i="1"/>
  <c r="D49" i="1"/>
  <c r="F48" i="1"/>
  <c r="E48" i="1"/>
  <c r="D48" i="1"/>
  <c r="E47" i="1"/>
  <c r="F47" i="1"/>
  <c r="F54" i="1"/>
  <c r="E54" i="1"/>
  <c r="D47" i="1"/>
  <c r="D54" i="1"/>
  <c r="F46" i="1"/>
  <c r="E46" i="1"/>
  <c r="D46" i="1"/>
  <c r="F45" i="1"/>
  <c r="E45" i="1"/>
  <c r="E44" i="1"/>
  <c r="D45" i="1"/>
  <c r="F44" i="1"/>
  <c r="D44" i="1"/>
  <c r="I86" i="1"/>
  <c r="C2" i="1"/>
  <c r="D2" i="1" s="1"/>
  <c r="E2" i="1" s="1"/>
  <c r="F2" i="1" s="1"/>
  <c r="H2" i="1" s="1"/>
  <c r="I2" i="1" s="1"/>
  <c r="J2" i="1" s="1"/>
  <c r="K2" i="1" s="1"/>
  <c r="N2" i="1" s="1"/>
  <c r="O2" i="1" s="1"/>
  <c r="P2" i="1" s="1"/>
  <c r="Q2" i="1" s="1"/>
  <c r="T2" i="1" s="1"/>
  <c r="U2" i="1" s="1"/>
  <c r="V2" i="1" s="1"/>
  <c r="F86" i="1" l="1"/>
  <c r="E86" i="1"/>
  <c r="D86" i="1"/>
  <c r="W2" i="1"/>
  <c r="X2" i="1" s="1"/>
  <c r="B16" i="1" s="1"/>
  <c r="C16" i="1" s="1"/>
  <c r="D16" i="1" s="1"/>
  <c r="E16" i="1" s="1"/>
  <c r="H16" i="1" s="1"/>
  <c r="I16" i="1" s="1"/>
  <c r="J16" i="1" s="1"/>
  <c r="K16" i="1" s="1"/>
  <c r="N16" i="1" s="1"/>
  <c r="O16" i="1" s="1"/>
  <c r="P16" i="1" s="1"/>
  <c r="Q16" i="1" s="1"/>
  <c r="R16" i="1" s="1"/>
  <c r="T16" i="1" s="1"/>
  <c r="U16" i="1" s="1"/>
  <c r="V16" i="1" s="1"/>
  <c r="W16" i="1" s="1"/>
  <c r="B30" i="1" s="1"/>
  <c r="C30" i="1" s="1"/>
  <c r="D30" i="1" s="1"/>
  <c r="E30" i="1" s="1"/>
  <c r="H30" i="1" s="1"/>
  <c r="I30" i="1" s="1"/>
  <c r="J30" i="1" s="1"/>
  <c r="K30" i="1" s="1"/>
  <c r="H83" i="1"/>
  <c r="H81" i="1"/>
  <c r="H80" i="1"/>
  <c r="H78" i="1"/>
  <c r="H77" i="1"/>
  <c r="H75" i="1"/>
  <c r="H74" i="1"/>
  <c r="H73" i="1"/>
  <c r="H72" i="1"/>
  <c r="H71" i="1"/>
  <c r="H70" i="1"/>
  <c r="H69" i="1"/>
  <c r="H68" i="1"/>
  <c r="H66" i="1"/>
  <c r="H64" i="1"/>
  <c r="H63" i="1"/>
  <c r="H62" i="1"/>
  <c r="H61" i="1"/>
  <c r="H60" i="1"/>
  <c r="H59" i="1"/>
  <c r="H58" i="1"/>
  <c r="H57" i="1"/>
  <c r="H56" i="1"/>
  <c r="H55" i="1"/>
  <c r="H53" i="1"/>
  <c r="H67" i="1"/>
  <c r="H65" i="1"/>
  <c r="H52" i="1"/>
  <c r="H76" i="1"/>
  <c r="H51" i="1"/>
  <c r="H50" i="1"/>
  <c r="H49" i="1"/>
  <c r="H48" i="1"/>
  <c r="H54" i="1"/>
  <c r="H47" i="1"/>
  <c r="H46" i="1"/>
  <c r="H45" i="1"/>
  <c r="H44" i="1"/>
  <c r="C86" i="1" l="1"/>
  <c r="H86" i="1"/>
  <c r="H88" i="1" s="1"/>
  <c r="P30" i="1"/>
  <c r="Q30" i="1" s="1"/>
  <c r="L30" i="1"/>
  <c r="T30" i="1" l="1"/>
  <c r="U30" i="1" s="1"/>
  <c r="V30" i="1" s="1"/>
  <c r="W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tc={C8DCA8E4-948B-E04B-A0AA-7BF14A8660E1}</author>
    <author>tc={F4033422-BE5C-5D42-8CDA-BB785AB9A70A}</author>
    <author>tc={F03E3C58-F967-EE41-BEC5-BE561A7A4664}</author>
  </authors>
  <commentList>
    <comment ref="N30" authorId="0" shapeId="0" xr:uid="{C8DCA8E4-948B-E04B-A0AA-7BF14A8660E1}">
      <text>
        <t>[Threaded comment]
Your version of Excel allows you to read this threaded comment; however, any edits to it will get removed if the file is opened in a newer version of Excel. Learn more: https://go.microsoft.com/fwlink/?linkid=870924
Comment:
    MEL Cup week - dispatch Wednesday</t>
      </text>
    </comment>
    <comment ref="I49" authorId="1" shapeId="0" xr:uid="{F4033422-BE5C-5D42-8CDA-BB785AB9A70A}">
      <text>
        <t>[Threaded comment]
Your version of Excel allows you to read this threaded comment; however, any edits to it will get removed if the file is opened in a newer version of Excel. Learn more: https://go.microsoft.com/fwlink/?linkid=870924
Comment:
    Antennas has 6, Security 2 - they want to share 4 and 4</t>
      </text>
    </comment>
    <comment ref="N49" authorId="2" shapeId="0" xr:uid="{F03E3C58-F967-EE41-BEC5-BE561A7A4664}">
      <text>
        <t>[Threaded comment]
Your version of Excel allows you to read this threaded comment; however, any edits to it will get removed if the file is opened in a newer version of Excel. Learn more: https://go.microsoft.com/fwlink/?linkid=870924
Comment:
    12 for Antennas, 2 for Security, 14 split between the 2 divs</t>
      </text>
    </comment>
  </commentList>
</comments>
</file>

<file path=xl/sharedStrings.xml><?xml version="1.0" encoding="utf-8"?>
<sst xmlns="http://schemas.openxmlformats.org/spreadsheetml/2006/main" count="655" uniqueCount="102">
  <si>
    <t>January</t>
  </si>
  <si>
    <t>Blogs</t>
  </si>
  <si>
    <t>Buttons</t>
  </si>
  <si>
    <t>February</t>
  </si>
  <si>
    <t>March</t>
  </si>
  <si>
    <t>April</t>
  </si>
  <si>
    <t>Dog Wash</t>
  </si>
  <si>
    <t>Mowing</t>
  </si>
  <si>
    <t>Cleaning</t>
  </si>
  <si>
    <t>Antennas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</si>
  <si>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</si>
  <si>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</si>
  <si>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</si>
  <si>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</si>
  <si>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</si>
  <si>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</si>
  <si>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</si>
  <si>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</si>
  <si>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Test &amp; Tag</t>
  </si>
  <si>
    <t>Car Detailing</t>
  </si>
  <si>
    <t>Building Inspections</t>
  </si>
  <si>
    <t>Carpet Cleaning</t>
  </si>
  <si>
    <t>Fencing</t>
  </si>
  <si>
    <t>Pool Care</t>
  </si>
  <si>
    <t>Skip Bins</t>
  </si>
  <si>
    <t>Bookkeeping</t>
  </si>
  <si>
    <t>Diggers</t>
  </si>
  <si>
    <t>Energy</t>
  </si>
  <si>
    <t>Handyman</t>
  </si>
  <si>
    <t>IT</t>
  </si>
  <si>
    <t>Laundry Services</t>
  </si>
  <si>
    <t>Termite &amp; Pest Control</t>
  </si>
  <si>
    <t>Tree &amp; Stump Removal</t>
  </si>
  <si>
    <t>Window &amp; Pressure Cleaning</t>
  </si>
  <si>
    <t>Bin Cleaning</t>
  </si>
  <si>
    <t>Blind Cleaning &amp; Repairs</t>
  </si>
  <si>
    <t>Conveyancing</t>
  </si>
  <si>
    <t>Electrical</t>
  </si>
  <si>
    <t>Financial Services</t>
  </si>
  <si>
    <t>Jumping Castles &amp; Party Hire</t>
  </si>
  <si>
    <t>Mobile Mechanics</t>
  </si>
  <si>
    <t>Mobile Tyres</t>
  </si>
  <si>
    <t>Painting</t>
  </si>
  <si>
    <t>Pet Patrol</t>
  </si>
  <si>
    <t>Plumbing</t>
  </si>
  <si>
    <t>Scratch &amp; Dent</t>
  </si>
  <si>
    <t>Security</t>
  </si>
  <si>
    <t>Security Doors</t>
  </si>
  <si>
    <t>Total</t>
  </si>
  <si>
    <t xml:space="preserve">Security   </t>
  </si>
  <si>
    <t>Sep -Dec</t>
  </si>
  <si>
    <t>Jan - Apr</t>
  </si>
  <si>
    <t>May - Aug</t>
  </si>
  <si>
    <t>Building Insp</t>
  </si>
  <si>
    <t>Carpet C</t>
  </si>
  <si>
    <t>Window Pres</t>
  </si>
  <si>
    <t>Blind C</t>
  </si>
  <si>
    <t>Hazmat</t>
  </si>
  <si>
    <t>Laundry</t>
  </si>
  <si>
    <t>Pest Control</t>
  </si>
  <si>
    <t>Trees</t>
  </si>
  <si>
    <t>Flyscreens</t>
  </si>
  <si>
    <t>Financial</t>
  </si>
  <si>
    <t>Castles</t>
  </si>
  <si>
    <t>Mechanics</t>
  </si>
  <si>
    <t>Tyres</t>
  </si>
  <si>
    <t>Scratch &amp; D</t>
  </si>
  <si>
    <t>Sec Doors</t>
  </si>
  <si>
    <t>Division Allocation</t>
  </si>
  <si>
    <t>Total/Div</t>
  </si>
  <si>
    <t>iT</t>
  </si>
  <si>
    <t>Blog Allocation</t>
  </si>
  <si>
    <t>Blog Features</t>
  </si>
  <si>
    <t>Cleaning - Jan to Apr</t>
  </si>
  <si>
    <t>Cleaning - May to Aug</t>
  </si>
  <si>
    <t>Cleaning - Sep to Dec</t>
  </si>
  <si>
    <t>Cleaning Group</t>
  </si>
  <si>
    <t>Mowing - Jan to Apr</t>
  </si>
  <si>
    <t>Mowing - May to Aug</t>
  </si>
  <si>
    <t>Mowing - Sep to Dec</t>
  </si>
  <si>
    <t>Flyscreens  "Blinds, Shutters &amp; Awnings"</t>
  </si>
  <si>
    <t>Roofing</t>
  </si>
  <si>
    <t>Bathrooms</t>
  </si>
  <si>
    <t>PAY PLAN</t>
  </si>
  <si>
    <t>Beauty</t>
  </si>
  <si>
    <t>Legal</t>
  </si>
  <si>
    <t>See separate tab - Mowing</t>
  </si>
  <si>
    <t>See separate tab - Cleaning</t>
  </si>
  <si>
    <t>Count</t>
  </si>
  <si>
    <t>Dispatch Dates - Content due 2 weeks prior</t>
  </si>
  <si>
    <t>Unallocated</t>
  </si>
  <si>
    <t>Jim - Xmas</t>
  </si>
  <si>
    <t>unallocated or PAY PLAN</t>
  </si>
  <si>
    <t>Features</t>
  </si>
  <si>
    <t>COMMENTS:  Allocation is based  on division size as per Head Office.  However, some balancing out is done to allow all divisions to have 2 features annually.  Unallocated spaces are kept for flexibility as the year unfolds.  Email jenni@elementalsolutions.com.au if you have any questions.</t>
  </si>
  <si>
    <t>Jim's Group Australia - Client Campaign 2024 calendar</t>
  </si>
  <si>
    <t>Email jenni@elementalsolutions.com.au if you have any questions.</t>
  </si>
  <si>
    <t>At the bottom of each campaign, there are 6 division buttons, linked to the division home page.  These are also allocated based on division size and scheduled accordingly.</t>
  </si>
  <si>
    <t xml:space="preserve">Content is due 2 weeks prior to the published dispatch date. If content is not received by the due date, the feature will be forfeited and allocated to another division.  </t>
  </si>
  <si>
    <t>The Jim's Group AUSTRALIA client campaign is sent weekly featuring 4 divisions per campaign.  Each feature has a landscape image, a brief introduction and a link to the division blog page.  Features are to be of value to the Jim's Group subscriber (not salesy).</t>
  </si>
  <si>
    <t>Stats from the campaign will be uploaded onto the FSO website &gt; Communications &gt; Campaigns one week after dispatch.</t>
  </si>
  <si>
    <t>Allocation is based  on division size as per Head Office.  However, some balancing out is done to allow all divisions to have 2 features annually.  Unallocated spaces are kept for flexibility as the year unfolds.   See By Division 2024 tab to easily find your division dates.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</si>
</sst>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1"/>
      <color theme="1"/>
      <name val="Arial"/>
      <family val="2"/>
    </font>
    <font>
      <u/>
      <sz val="12"/>
      <color theme="10"/>
      <name val="Calibri"/>
      <family val="2"/>
      <scheme val="minor"/>
    </font>
    <font>
      <sz val="12"/>
      <color rgb="FF222222"/>
      <name val="Arial"/>
      <family val="2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  <bgColor rgb="FF000000"/>
      </patternFill>
    </fill>
  </fills>
  <borders count="11">
    <border>
      <left/>
      <right/>
      <top/>
      <bottom/>
      <diagonal/>
    </border>
    <border>
      <left style="thin">
        <color rgb="FFD3D3D3"/>
      </left>
      <right style="medium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0">
    <xf numFmtId="0" fontId="0" fillId="0" borderId="0" xfId="0"/>
    <xf numFmtId="16" fontId="0" fillId="0" borderId="0" xfId="0" applyNumberFormat="1"/>
    <xf numFmtId="0" fontId="2" fillId="0" borderId="0" xfId="0" applyFont="1"/>
    <xf numFmtId="0" fontId="0" fillId="0" borderId="0" xfId="0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" fontId="1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2" fillId="5" borderId="0" xfId="0" applyFont="1" applyFill="1"/>
    <xf numFmtId="0" fontId="0" fillId="5" borderId="0" xfId="0" applyFill="1"/>
    <xf numFmtId="0" fontId="2" fillId="6" borderId="0" xfId="0" applyFont="1" applyFill="1"/>
    <xf numFmtId="0" fontId="0" fillId="6" borderId="0" xfId="0" applyFill="1"/>
    <xf numFmtId="0" fontId="3" fillId="8" borderId="0" xfId="0" applyFont="1" applyFill="1"/>
    <xf numFmtId="0" fontId="2" fillId="0" borderId="0" xfId="0" applyFont="1" applyAlignment="1">
      <alignment wrapText="1"/>
    </xf>
    <xf numFmtId="0" fontId="0" fillId="0" borderId="0" xfId="0"/>
    <xf numFmtId="0" fontId="2" fillId="0" borderId="0" xfId="0" applyFont="1"/>
    <xf numFmtId="14" fontId="0" fillId="0" borderId="0" xfId="0" applyNumberFormat="1"/>
    <xf numFmtId="0" fontId="3" fillId="0" borderId="0" xfId="0" applyFont="1" applyFill="1"/>
    <xf numFmtId="0" fontId="4" fillId="0" borderId="1" xfId="0" applyFont="1" applyFill="1" applyBorder="1" applyAlignment="1">
      <alignment wrapText="1"/>
    </xf>
    <xf numFmtId="0" fontId="6" fillId="0" borderId="0" xfId="0" applyFont="1"/>
    <xf numFmtId="0" fontId="5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16" fontId="0" fillId="0" borderId="0" xfId="0" applyNumberFormat="1" applyFill="1"/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/>
    </xf>
    <xf numFmtId="0" fontId="2" fillId="2" borderId="0" xfId="0" applyFont="1" applyFill="1" applyAlignment="1">
      <alignment vertical="center" textRotation="90"/>
    </xf>
    <xf numFmtId="0" fontId="2" fillId="3" borderId="0" xfId="0" applyFont="1" applyFill="1" applyAlignment="1">
      <alignment vertical="center" textRotation="90"/>
    </xf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0" fillId="0" borderId="2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/>
    <xf numFmtId="0" fontId="0" fillId="0" borderId="0" xfId="0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" fontId="2" fillId="0" borderId="6" xfId="0" applyNumberFormat="1" applyFont="1" applyFill="1" applyBorder="1" applyAlignment="1">
      <alignment horizontal="center"/>
    </xf>
    <xf numFmtId="16" fontId="2" fillId="0" borderId="0" xfId="0" applyNumberFormat="1" applyFont="1" applyFill="1" applyBorder="1" applyAlignment="1">
      <alignment horizontal="center"/>
    </xf>
    <xf numFmtId="16" fontId="2" fillId="0" borderId="7" xfId="0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0" xfId="0" applyFill="1" applyBorder="1"/>
    <xf numFmtId="0" fontId="0" fillId="2" borderId="7" xfId="0" applyFill="1" applyBorder="1"/>
    <xf numFmtId="0" fontId="0" fillId="0" borderId="6" xfId="0" applyFill="1" applyBorder="1"/>
    <xf numFmtId="0" fontId="0" fillId="0" borderId="0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0" fillId="0" borderId="10" xfId="0" applyFill="1" applyBorder="1"/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" fontId="2" fillId="0" borderId="7" xfId="0" applyNumberFormat="1" applyFont="1" applyFill="1" applyBorder="1"/>
    <xf numFmtId="0" fontId="0" fillId="0" borderId="6" xfId="0" applyBorder="1"/>
    <xf numFmtId="0" fontId="0" fillId="0" borderId="7" xfId="0" applyBorder="1"/>
    <xf numFmtId="16" fontId="0" fillId="0" borderId="6" xfId="0" applyNumberFormat="1" applyFill="1" applyBorder="1"/>
    <xf numFmtId="16" fontId="0" fillId="0" borderId="0" xfId="0" applyNumberFormat="1" applyFill="1" applyBorder="1"/>
    <xf numFmtId="16" fontId="0" fillId="0" borderId="7" xfId="0" applyNumberFormat="1" applyFill="1" applyBorder="1"/>
    <xf numFmtId="0" fontId="0" fillId="2" borderId="8" xfId="0" applyFill="1" applyBorder="1"/>
    <xf numFmtId="0" fontId="0" fillId="2" borderId="9" xfId="0" applyFill="1" applyBorder="1"/>
    <xf numFmtId="0" fontId="0" fillId="7" borderId="9" xfId="0" applyFill="1" applyBorder="1"/>
    <xf numFmtId="0" fontId="0" fillId="2" borderId="10" xfId="0" applyFill="1" applyBorder="1"/>
    <xf numFmtId="0" fontId="7" fillId="2" borderId="0" xfId="0" applyFont="1" applyFill="1" applyBorder="1"/>
    <xf numFmtId="0" fontId="0" fillId="4" borderId="7" xfId="0" applyFill="1" applyBorder="1"/>
    <xf numFmtId="0" fontId="0" fillId="4" borderId="0" xfId="0" applyFill="1" applyBorder="1"/>
    <xf numFmtId="0" fontId="0" fillId="7" borderId="0" xfId="0" applyFill="1" applyBorder="1"/>
    <xf numFmtId="0" fontId="0" fillId="7" borderId="7" xfId="0" applyFill="1" applyBorder="1"/>
    <xf numFmtId="0" fontId="0" fillId="7" borderId="6" xfId="0" applyFill="1" applyBorder="1"/>
    <xf numFmtId="0" fontId="0" fillId="0" borderId="9" xfId="0" applyBorder="1"/>
    <xf numFmtId="0" fontId="0" fillId="0" borderId="10" xfId="0" applyBorder="1"/>
    <xf numFmtId="0" fontId="0" fillId="0" borderId="8" xfId="0" applyBorder="1"/>
    <xf numFmtId="0" fontId="2" fillId="0" borderId="0" xfId="0" applyFont="1" applyAlignment="1">
      <alignment horizontal="left" vertical="top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6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Hyperlink" xfId="1" builtinId="8"/>
    <cellStyle name="Normal" xfId="0" builtinId="0"/>
  </cellStyles>
  <dxfs count="8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enni Tham" id="{0A711E0C-1CD4-254C-A91F-796610F8528D}" userId="d5e12168b270aeef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30" dT="2023-09-20T09:46:09.36" personId="{0A711E0C-1CD4-254C-A91F-796610F8528D}" id="{C8DCA8E4-948B-E04B-A0AA-7BF14A8660E1}">
    <text>MEL Cup week - dispatch Wednesday</text>
  </threadedComment>
  <threadedComment ref="I49" dT="2022-12-07T02:43:12.43" personId="{0A711E0C-1CD4-254C-A91F-796610F8528D}" id="{F4033422-BE5C-5D42-8CDA-BB785AB9A70A}">
    <text>Antennas has 6, Security 2 - they want to share 4 and 4</text>
  </threadedComment>
  <threadedComment ref="N49" dT="2022-12-08T02:38:09.01" personId="{0A711E0C-1CD4-254C-A91F-796610F8528D}" id="{F03E3C58-F967-EE41-BEC5-BE561A7A4664}">
    <text>12 for Antennas, 2 for Security, 14 split between the 2 divs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91DA9-5D3A-0240-A903-D583192603AC}">
  <dimension ref="A2:I21"/>
  <sheetViews>
    <sheetView tabSelected="1" workbookViewId="0">
      <selection activeCell="J3" sqref="J3"/>
    </sheetView>
  </sheetViews>
  <sheetFormatPr baseColWidth="10" defaultRowHeight="16" x14ac:dyDescent="0.2"/>
  <cols>
    <col min="1" max="1" width="6.83203125" style="26" customWidth="1"/>
  </cols>
  <sheetData>
    <row r="2" spans="2:9" ht="17" thickBot="1" x14ac:dyDescent="0.25">
      <c r="B2" s="39" t="s">
        <v>95</v>
      </c>
      <c r="C2" s="39"/>
      <c r="D2" s="39"/>
      <c r="E2" s="39"/>
      <c r="F2" s="39"/>
      <c r="G2" s="39"/>
      <c r="H2" s="39"/>
      <c r="I2" s="39"/>
    </row>
    <row r="3" spans="2:9" ht="16" customHeight="1" x14ac:dyDescent="0.2">
      <c r="B3" s="85" t="s">
        <v>99</v>
      </c>
      <c r="C3" s="86"/>
      <c r="D3" s="86"/>
      <c r="E3" s="86"/>
      <c r="F3" s="86"/>
      <c r="G3" s="86"/>
      <c r="H3" s="86"/>
      <c r="I3" s="87"/>
    </row>
    <row r="4" spans="2:9" x14ac:dyDescent="0.2">
      <c r="B4" s="88"/>
      <c r="C4" s="89"/>
      <c r="D4" s="89"/>
      <c r="E4" s="89"/>
      <c r="F4" s="89"/>
      <c r="G4" s="89"/>
      <c r="H4" s="89"/>
      <c r="I4" s="90"/>
    </row>
    <row r="5" spans="2:9" x14ac:dyDescent="0.2">
      <c r="B5" s="88"/>
      <c r="C5" s="89"/>
      <c r="D5" s="89"/>
      <c r="E5" s="89"/>
      <c r="F5" s="89"/>
      <c r="G5" s="89"/>
      <c r="H5" s="89"/>
      <c r="I5" s="90"/>
    </row>
    <row r="6" spans="2:9" x14ac:dyDescent="0.2">
      <c r="B6" s="97"/>
      <c r="C6" s="98"/>
      <c r="D6" s="98"/>
      <c r="E6" s="98"/>
      <c r="F6" s="98"/>
      <c r="G6" s="98"/>
      <c r="H6" s="98"/>
      <c r="I6" s="99"/>
    </row>
    <row r="7" spans="2:9" x14ac:dyDescent="0.2">
      <c r="B7" s="91" t="s">
        <v>101</v>
      </c>
      <c r="C7" s="92"/>
      <c r="D7" s="92"/>
      <c r="E7" s="92"/>
      <c r="F7" s="92"/>
      <c r="G7" s="92"/>
      <c r="H7" s="92"/>
      <c r="I7" s="93"/>
    </row>
    <row r="8" spans="2:9" x14ac:dyDescent="0.2">
      <c r="B8" s="91"/>
      <c r="C8" s="92"/>
      <c r="D8" s="92"/>
      <c r="E8" s="92"/>
      <c r="F8" s="92"/>
      <c r="G8" s="92"/>
      <c r="H8" s="92"/>
      <c r="I8" s="93"/>
    </row>
    <row r="9" spans="2:9" x14ac:dyDescent="0.2">
      <c r="B9" s="91"/>
      <c r="C9" s="92"/>
      <c r="D9" s="92"/>
      <c r="E9" s="92"/>
      <c r="F9" s="92"/>
      <c r="G9" s="92"/>
      <c r="H9" s="92"/>
      <c r="I9" s="93"/>
    </row>
    <row r="10" spans="2:9" x14ac:dyDescent="0.2">
      <c r="B10" s="97"/>
      <c r="C10" s="98"/>
      <c r="D10" s="98"/>
      <c r="E10" s="98"/>
      <c r="F10" s="98"/>
      <c r="G10" s="98"/>
      <c r="H10" s="98"/>
      <c r="I10" s="99"/>
    </row>
    <row r="11" spans="2:9" s="26" customFormat="1" ht="18" customHeight="1" x14ac:dyDescent="0.2">
      <c r="B11" s="91" t="s">
        <v>97</v>
      </c>
      <c r="C11" s="92"/>
      <c r="D11" s="92"/>
      <c r="E11" s="92"/>
      <c r="F11" s="92"/>
      <c r="G11" s="92"/>
      <c r="H11" s="92"/>
      <c r="I11" s="93"/>
    </row>
    <row r="12" spans="2:9" s="26" customFormat="1" ht="16" customHeight="1" x14ac:dyDescent="0.2">
      <c r="B12" s="91"/>
      <c r="C12" s="92"/>
      <c r="D12" s="92"/>
      <c r="E12" s="92"/>
      <c r="F12" s="92"/>
      <c r="G12" s="92"/>
      <c r="H12" s="92"/>
      <c r="I12" s="93"/>
    </row>
    <row r="13" spans="2:9" x14ac:dyDescent="0.2">
      <c r="B13" s="97"/>
      <c r="C13" s="98"/>
      <c r="D13" s="98"/>
      <c r="E13" s="98"/>
      <c r="F13" s="98"/>
      <c r="G13" s="98"/>
      <c r="H13" s="98"/>
      <c r="I13" s="99"/>
    </row>
    <row r="14" spans="2:9" x14ac:dyDescent="0.2">
      <c r="B14" s="91" t="s">
        <v>98</v>
      </c>
      <c r="C14" s="92"/>
      <c r="D14" s="92"/>
      <c r="E14" s="92"/>
      <c r="F14" s="92"/>
      <c r="G14" s="92"/>
      <c r="H14" s="92"/>
      <c r="I14" s="93"/>
    </row>
    <row r="15" spans="2:9" x14ac:dyDescent="0.2">
      <c r="B15" s="91"/>
      <c r="C15" s="92"/>
      <c r="D15" s="92"/>
      <c r="E15" s="92"/>
      <c r="F15" s="92"/>
      <c r="G15" s="92"/>
      <c r="H15" s="92"/>
      <c r="I15" s="93"/>
    </row>
    <row r="16" spans="2:9" s="26" customFormat="1" x14ac:dyDescent="0.2">
      <c r="B16" s="97"/>
      <c r="C16" s="98"/>
      <c r="D16" s="98"/>
      <c r="E16" s="98"/>
      <c r="F16" s="98"/>
      <c r="G16" s="98"/>
      <c r="H16" s="98"/>
      <c r="I16" s="99"/>
    </row>
    <row r="17" spans="2:9" ht="16" customHeight="1" x14ac:dyDescent="0.2">
      <c r="B17" s="91" t="s">
        <v>100</v>
      </c>
      <c r="C17" s="92"/>
      <c r="D17" s="92"/>
      <c r="E17" s="92"/>
      <c r="F17" s="92"/>
      <c r="G17" s="92"/>
      <c r="H17" s="92"/>
      <c r="I17" s="93"/>
    </row>
    <row r="18" spans="2:9" x14ac:dyDescent="0.2">
      <c r="B18" s="91"/>
      <c r="C18" s="92"/>
      <c r="D18" s="92"/>
      <c r="E18" s="92"/>
      <c r="F18" s="92"/>
      <c r="G18" s="92"/>
      <c r="H18" s="92"/>
      <c r="I18" s="93"/>
    </row>
    <row r="19" spans="2:9" x14ac:dyDescent="0.2">
      <c r="B19" s="97"/>
      <c r="C19" s="98"/>
      <c r="D19" s="98"/>
      <c r="E19" s="98"/>
      <c r="F19" s="98"/>
      <c r="G19" s="98"/>
      <c r="H19" s="98"/>
      <c r="I19" s="99"/>
    </row>
    <row r="20" spans="2:9" x14ac:dyDescent="0.2">
      <c r="B20" s="97"/>
      <c r="C20" s="98"/>
      <c r="D20" s="98"/>
      <c r="E20" s="98"/>
      <c r="F20" s="98"/>
      <c r="G20" s="98"/>
      <c r="H20" s="98"/>
      <c r="I20" s="99"/>
    </row>
    <row r="21" spans="2:9" ht="17" thickBot="1" x14ac:dyDescent="0.25">
      <c r="B21" s="94" t="s">
        <v>96</v>
      </c>
      <c r="C21" s="95"/>
      <c r="D21" s="95"/>
      <c r="E21" s="95"/>
      <c r="F21" s="95"/>
      <c r="G21" s="95"/>
      <c r="H21" s="95"/>
      <c r="I21" s="96"/>
    </row>
  </sheetData>
  <mergeCells count="12">
    <mergeCell ref="B21:I21"/>
    <mergeCell ref="B14:I15"/>
    <mergeCell ref="B17:I18"/>
    <mergeCell ref="B6:I6"/>
    <mergeCell ref="B10:I10"/>
    <mergeCell ref="B13:I13"/>
    <mergeCell ref="B16:I16"/>
    <mergeCell ref="B19:I20"/>
    <mergeCell ref="B2:I2"/>
    <mergeCell ref="B3:I5"/>
    <mergeCell ref="B7:I9"/>
    <mergeCell ref="B11:I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732F6-D3BB-504E-ADFA-642264444CAD}">
  <dimension ref="A1:X88"/>
  <sheetViews>
    <sheetView topLeftCell="A15" zoomScale="98" zoomScaleNormal="98" workbookViewId="0">
      <selection activeCell="Q43" sqref="Q43:V49"/>
    </sheetView>
  </sheetViews>
  <sheetFormatPr baseColWidth="10" defaultRowHeight="16" outlineLevelRow="1" x14ac:dyDescent="0.2"/>
  <cols>
    <col min="1" max="1" width="3.6640625" bestFit="1" customWidth="1"/>
    <col min="2" max="6" width="11.83203125" customWidth="1"/>
    <col min="7" max="7" width="3.5" customWidth="1"/>
    <col min="8" max="12" width="11.83203125" customWidth="1"/>
    <col min="13" max="13" width="3.33203125" customWidth="1"/>
    <col min="14" max="17" width="11.83203125" customWidth="1"/>
    <col min="18" max="18" width="11.83203125" style="23" customWidth="1"/>
    <col min="19" max="19" width="3" customWidth="1"/>
    <col min="20" max="24" width="11.83203125" customWidth="1"/>
    <col min="25" max="25" width="1.5" customWidth="1"/>
  </cols>
  <sheetData>
    <row r="1" spans="1:24" x14ac:dyDescent="0.2">
      <c r="B1" s="43" t="s">
        <v>0</v>
      </c>
      <c r="C1" s="44"/>
      <c r="D1" s="44"/>
      <c r="E1" s="44"/>
      <c r="F1" s="45"/>
      <c r="G1" s="5"/>
      <c r="H1" s="58" t="s">
        <v>3</v>
      </c>
      <c r="I1" s="59"/>
      <c r="J1" s="59"/>
      <c r="K1" s="60"/>
      <c r="L1" s="5"/>
      <c r="N1" s="62" t="s">
        <v>4</v>
      </c>
      <c r="O1" s="63"/>
      <c r="P1" s="63"/>
      <c r="Q1" s="64"/>
      <c r="R1" s="61"/>
      <c r="T1" s="58" t="s">
        <v>5</v>
      </c>
      <c r="U1" s="59"/>
      <c r="V1" s="59"/>
      <c r="W1" s="59"/>
      <c r="X1" s="60"/>
    </row>
    <row r="2" spans="1:24" s="4" customFormat="1" x14ac:dyDescent="0.2">
      <c r="B2" s="46">
        <v>45293</v>
      </c>
      <c r="C2" s="47">
        <f>B2+7</f>
        <v>45300</v>
      </c>
      <c r="D2" s="47">
        <f t="shared" ref="D2:E2" si="0">C2+7</f>
        <v>45307</v>
      </c>
      <c r="E2" s="47">
        <f t="shared" si="0"/>
        <v>45314</v>
      </c>
      <c r="F2" s="48">
        <f>E2+7</f>
        <v>45321</v>
      </c>
      <c r="H2" s="46">
        <f>F2+7</f>
        <v>45328</v>
      </c>
      <c r="I2" s="47">
        <f>H2+7</f>
        <v>45335</v>
      </c>
      <c r="J2" s="47">
        <f t="shared" ref="J2" si="1">I2+7</f>
        <v>45342</v>
      </c>
      <c r="K2" s="48">
        <f>J2+7</f>
        <v>45349</v>
      </c>
      <c r="N2" s="46">
        <f>K2+7</f>
        <v>45356</v>
      </c>
      <c r="O2" s="47">
        <f>N2+7</f>
        <v>45363</v>
      </c>
      <c r="P2" s="47">
        <f t="shared" ref="P2:Q2" si="2">O2+7</f>
        <v>45370</v>
      </c>
      <c r="Q2" s="48">
        <f t="shared" si="2"/>
        <v>45377</v>
      </c>
      <c r="T2" s="46">
        <f>Q2+7</f>
        <v>45384</v>
      </c>
      <c r="U2" s="47">
        <f>T2+7</f>
        <v>45391</v>
      </c>
      <c r="V2" s="47">
        <f t="shared" ref="V2" si="3">U2+7</f>
        <v>45398</v>
      </c>
      <c r="W2" s="47">
        <f>V2+7</f>
        <v>45405</v>
      </c>
      <c r="X2" s="65">
        <f>W2+7</f>
        <v>45412</v>
      </c>
    </row>
    <row r="3" spans="1:24" x14ac:dyDescent="0.2">
      <c r="A3" s="29" t="s">
        <v>1</v>
      </c>
      <c r="B3" s="49" t="s">
        <v>7</v>
      </c>
      <c r="C3" s="50" t="s">
        <v>9</v>
      </c>
      <c r="D3" s="50" t="s">
        <v>8</v>
      </c>
      <c r="E3" s="50" t="s">
        <v>7</v>
      </c>
      <c r="F3" s="51" t="s">
        <v>53</v>
      </c>
      <c r="G3" s="29" t="s">
        <v>1</v>
      </c>
      <c r="H3" s="49" t="s">
        <v>7</v>
      </c>
      <c r="I3" s="50" t="s">
        <v>8</v>
      </c>
      <c r="J3" s="50" t="s">
        <v>7</v>
      </c>
      <c r="K3" s="51" t="s">
        <v>8</v>
      </c>
      <c r="M3" s="29" t="s">
        <v>1</v>
      </c>
      <c r="N3" s="49" t="s">
        <v>7</v>
      </c>
      <c r="O3" s="50" t="s">
        <v>8</v>
      </c>
      <c r="P3" s="50" t="s">
        <v>7</v>
      </c>
      <c r="Q3" s="51" t="s">
        <v>8</v>
      </c>
      <c r="S3" s="29" t="s">
        <v>1</v>
      </c>
      <c r="T3" s="49" t="s">
        <v>7</v>
      </c>
      <c r="U3" s="50" t="s">
        <v>8</v>
      </c>
      <c r="V3" s="50" t="s">
        <v>7</v>
      </c>
      <c r="W3" s="50" t="s">
        <v>8</v>
      </c>
      <c r="X3" s="51" t="s">
        <v>7</v>
      </c>
    </row>
    <row r="4" spans="1:24" x14ac:dyDescent="0.2">
      <c r="A4" s="29"/>
      <c r="B4" s="49" t="s">
        <v>6</v>
      </c>
      <c r="C4" s="50" t="s">
        <v>19</v>
      </c>
      <c r="D4" s="50" t="s">
        <v>24</v>
      </c>
      <c r="E4" s="50" t="s">
        <v>26</v>
      </c>
      <c r="F4" s="51" t="s">
        <v>22</v>
      </c>
      <c r="G4" s="29"/>
      <c r="H4" s="49" t="s">
        <v>6</v>
      </c>
      <c r="I4" s="50" t="s">
        <v>18</v>
      </c>
      <c r="J4" s="50" t="s">
        <v>54</v>
      </c>
      <c r="K4" s="51" t="s">
        <v>25</v>
      </c>
      <c r="M4" s="29"/>
      <c r="N4" s="49" t="s">
        <v>6</v>
      </c>
      <c r="O4" s="50" t="s">
        <v>22</v>
      </c>
      <c r="P4" s="50" t="s">
        <v>19</v>
      </c>
      <c r="Q4" s="51" t="s">
        <v>46</v>
      </c>
      <c r="S4" s="29"/>
      <c r="T4" s="49" t="s">
        <v>6</v>
      </c>
      <c r="U4" s="50" t="s">
        <v>53</v>
      </c>
      <c r="V4" s="50" t="s">
        <v>56</v>
      </c>
      <c r="W4" s="50" t="s">
        <v>18</v>
      </c>
      <c r="X4" s="51" t="s">
        <v>6</v>
      </c>
    </row>
    <row r="5" spans="1:24" x14ac:dyDescent="0.2">
      <c r="A5" s="29"/>
      <c r="B5" s="49" t="s">
        <v>8</v>
      </c>
      <c r="C5" s="50" t="s">
        <v>37</v>
      </c>
      <c r="D5" s="50" t="s">
        <v>7</v>
      </c>
      <c r="E5" s="50" t="s">
        <v>55</v>
      </c>
      <c r="F5" s="51" t="s">
        <v>58</v>
      </c>
      <c r="G5" s="29"/>
      <c r="H5" s="49" t="s">
        <v>23</v>
      </c>
      <c r="I5" s="50" t="s">
        <v>28</v>
      </c>
      <c r="J5" s="50" t="s">
        <v>27</v>
      </c>
      <c r="K5" s="51" t="s">
        <v>29</v>
      </c>
      <c r="M5" s="29"/>
      <c r="N5" s="49" t="s">
        <v>82</v>
      </c>
      <c r="O5" s="50" t="s">
        <v>24</v>
      </c>
      <c r="P5" s="50" t="s">
        <v>18</v>
      </c>
      <c r="Q5" s="51" t="s">
        <v>25</v>
      </c>
      <c r="S5" s="29"/>
      <c r="T5" s="49" t="s">
        <v>60</v>
      </c>
      <c r="U5" s="50" t="s">
        <v>67</v>
      </c>
      <c r="V5" s="50" t="s">
        <v>36</v>
      </c>
      <c r="W5" s="50" t="s">
        <v>25</v>
      </c>
      <c r="X5" s="51" t="s">
        <v>55</v>
      </c>
    </row>
    <row r="6" spans="1:24" x14ac:dyDescent="0.2">
      <c r="A6" s="29"/>
      <c r="B6" s="49" t="s">
        <v>23</v>
      </c>
      <c r="C6" s="50" t="s">
        <v>63</v>
      </c>
      <c r="D6" s="50" t="s">
        <v>23</v>
      </c>
      <c r="E6" s="50" t="s">
        <v>62</v>
      </c>
      <c r="F6" s="51" t="s">
        <v>8</v>
      </c>
      <c r="G6" s="29"/>
      <c r="H6" s="49" t="s">
        <v>46</v>
      </c>
      <c r="I6" s="50" t="s">
        <v>59</v>
      </c>
      <c r="J6" s="50" t="s">
        <v>34</v>
      </c>
      <c r="K6" s="51" t="s">
        <v>66</v>
      </c>
      <c r="M6" s="29"/>
      <c r="N6" s="49" t="s">
        <v>54</v>
      </c>
      <c r="O6" s="50" t="s">
        <v>26</v>
      </c>
      <c r="P6" s="50" t="s">
        <v>57</v>
      </c>
      <c r="Q6" s="51" t="s">
        <v>58</v>
      </c>
      <c r="S6" s="29"/>
      <c r="T6" s="49" t="s">
        <v>42</v>
      </c>
      <c r="U6" s="50" t="s">
        <v>44</v>
      </c>
      <c r="V6" s="50" t="s">
        <v>84</v>
      </c>
      <c r="W6" s="50" t="s">
        <v>81</v>
      </c>
      <c r="X6" s="51" t="s">
        <v>85</v>
      </c>
    </row>
    <row r="7" spans="1:24" s="3" customFormat="1" ht="7" customHeight="1" x14ac:dyDescent="0.2">
      <c r="A7" s="4"/>
      <c r="B7" s="52"/>
      <c r="C7" s="53"/>
      <c r="D7" s="53"/>
      <c r="E7" s="53"/>
      <c r="F7" s="54"/>
      <c r="H7" s="52"/>
      <c r="I7" s="53"/>
      <c r="J7" s="53"/>
      <c r="K7" s="54"/>
      <c r="N7" s="52"/>
      <c r="O7" s="53"/>
      <c r="P7" s="53"/>
      <c r="Q7" s="54"/>
      <c r="T7" s="52"/>
      <c r="U7" s="53"/>
      <c r="V7" s="53"/>
      <c r="W7" s="53"/>
      <c r="X7" s="67"/>
    </row>
    <row r="8" spans="1:24" outlineLevel="1" x14ac:dyDescent="0.2">
      <c r="A8" s="30" t="s">
        <v>2</v>
      </c>
      <c r="B8" s="52" t="s">
        <v>7</v>
      </c>
      <c r="C8" s="53" t="s">
        <v>7</v>
      </c>
      <c r="D8" s="53" t="s">
        <v>7</v>
      </c>
      <c r="E8" s="53" t="s">
        <v>8</v>
      </c>
      <c r="F8" s="54" t="s">
        <v>7</v>
      </c>
      <c r="G8" s="30" t="s">
        <v>2</v>
      </c>
      <c r="H8" s="52" t="s">
        <v>7</v>
      </c>
      <c r="I8" s="53" t="s">
        <v>7</v>
      </c>
      <c r="J8" s="53" t="s">
        <v>7</v>
      </c>
      <c r="K8" s="54" t="s">
        <v>7</v>
      </c>
      <c r="M8" s="30" t="s">
        <v>2</v>
      </c>
      <c r="N8" s="52" t="s">
        <v>7</v>
      </c>
      <c r="O8" s="53" t="s">
        <v>7</v>
      </c>
      <c r="P8" s="53" t="s">
        <v>7</v>
      </c>
      <c r="Q8" s="54" t="s">
        <v>7</v>
      </c>
      <c r="S8" s="30" t="s">
        <v>2</v>
      </c>
      <c r="T8" s="52" t="s">
        <v>7</v>
      </c>
      <c r="U8" s="53" t="s">
        <v>7</v>
      </c>
      <c r="V8" s="53" t="s">
        <v>7</v>
      </c>
      <c r="W8" s="53" t="s">
        <v>7</v>
      </c>
      <c r="X8" s="54" t="s">
        <v>7</v>
      </c>
    </row>
    <row r="9" spans="1:24" outlineLevel="1" x14ac:dyDescent="0.2">
      <c r="A9" s="30"/>
      <c r="B9" s="52" t="s">
        <v>8</v>
      </c>
      <c r="C9" s="53" t="s">
        <v>8</v>
      </c>
      <c r="D9" s="53" t="s">
        <v>8</v>
      </c>
      <c r="E9" s="53" t="s">
        <v>18</v>
      </c>
      <c r="F9" s="54" t="s">
        <v>8</v>
      </c>
      <c r="G9" s="30"/>
      <c r="H9" s="52" t="s">
        <v>8</v>
      </c>
      <c r="I9" s="53" t="s">
        <v>8</v>
      </c>
      <c r="J9" s="53" t="s">
        <v>8</v>
      </c>
      <c r="K9" s="54" t="s">
        <v>8</v>
      </c>
      <c r="M9" s="30"/>
      <c r="N9" s="52" t="s">
        <v>8</v>
      </c>
      <c r="O9" s="53" t="s">
        <v>9</v>
      </c>
      <c r="P9" s="53" t="s">
        <v>8</v>
      </c>
      <c r="Q9" s="54" t="s">
        <v>8</v>
      </c>
      <c r="S9" s="30"/>
      <c r="T9" s="52" t="s">
        <v>8</v>
      </c>
      <c r="U9" s="53" t="s">
        <v>18</v>
      </c>
      <c r="V9" s="53" t="s">
        <v>8</v>
      </c>
      <c r="W9" s="53" t="s">
        <v>8</v>
      </c>
      <c r="X9" s="54" t="s">
        <v>8</v>
      </c>
    </row>
    <row r="10" spans="1:24" outlineLevel="1" x14ac:dyDescent="0.2">
      <c r="A10" s="30"/>
      <c r="B10" s="52" t="s">
        <v>18</v>
      </c>
      <c r="C10" s="53" t="s">
        <v>53</v>
      </c>
      <c r="D10" s="53" t="s">
        <v>6</v>
      </c>
      <c r="E10" s="53" t="s">
        <v>19</v>
      </c>
      <c r="F10" s="54" t="s">
        <v>28</v>
      </c>
      <c r="G10" s="30"/>
      <c r="H10" s="52" t="s">
        <v>18</v>
      </c>
      <c r="I10" s="53" t="s">
        <v>19</v>
      </c>
      <c r="J10" s="53" t="s">
        <v>6</v>
      </c>
      <c r="K10" s="54" t="s">
        <v>18</v>
      </c>
      <c r="M10" s="30"/>
      <c r="N10" s="52" t="s">
        <v>18</v>
      </c>
      <c r="O10" s="53" t="s">
        <v>53</v>
      </c>
      <c r="P10" s="53" t="s">
        <v>6</v>
      </c>
      <c r="Q10" s="54" t="s">
        <v>22</v>
      </c>
      <c r="S10" s="30"/>
      <c r="T10" s="52" t="s">
        <v>46</v>
      </c>
      <c r="U10" s="53" t="s">
        <v>19</v>
      </c>
      <c r="V10" s="53" t="s">
        <v>6</v>
      </c>
      <c r="W10" s="53" t="s">
        <v>9</v>
      </c>
      <c r="X10" s="54" t="s">
        <v>19</v>
      </c>
    </row>
    <row r="11" spans="1:24" outlineLevel="1" x14ac:dyDescent="0.2">
      <c r="A11" s="30"/>
      <c r="B11" s="52" t="s">
        <v>22</v>
      </c>
      <c r="C11" s="53" t="s">
        <v>25</v>
      </c>
      <c r="D11" s="53" t="s">
        <v>54</v>
      </c>
      <c r="E11" s="53" t="s">
        <v>46</v>
      </c>
      <c r="F11" s="54" t="s">
        <v>56</v>
      </c>
      <c r="G11" s="30"/>
      <c r="H11" s="52" t="s">
        <v>9</v>
      </c>
      <c r="I11" s="53" t="s">
        <v>24</v>
      </c>
      <c r="J11" s="53" t="s">
        <v>53</v>
      </c>
      <c r="K11" s="54" t="s">
        <v>22</v>
      </c>
      <c r="M11" s="30"/>
      <c r="N11" s="52" t="s">
        <v>19</v>
      </c>
      <c r="O11" s="53" t="s">
        <v>28</v>
      </c>
      <c r="P11" s="53" t="s">
        <v>54</v>
      </c>
      <c r="Q11" s="54" t="s">
        <v>23</v>
      </c>
      <c r="S11" s="30"/>
      <c r="T11" s="52" t="s">
        <v>22</v>
      </c>
      <c r="U11" s="53" t="s">
        <v>85</v>
      </c>
      <c r="V11" s="53" t="s">
        <v>54</v>
      </c>
      <c r="W11" s="53" t="s">
        <v>53</v>
      </c>
      <c r="X11" s="54" t="s">
        <v>46</v>
      </c>
    </row>
    <row r="12" spans="1:24" outlineLevel="1" x14ac:dyDescent="0.2">
      <c r="A12" s="30"/>
      <c r="B12" s="52" t="s">
        <v>61</v>
      </c>
      <c r="C12" s="53" t="s">
        <v>57</v>
      </c>
      <c r="D12" s="53" t="s">
        <v>59</v>
      </c>
      <c r="E12" s="53" t="s">
        <v>23</v>
      </c>
      <c r="F12" s="54" t="s">
        <v>64</v>
      </c>
      <c r="G12" s="30"/>
      <c r="H12" s="52" t="s">
        <v>25</v>
      </c>
      <c r="I12" s="53" t="s">
        <v>26</v>
      </c>
      <c r="J12" s="53" t="s">
        <v>57</v>
      </c>
      <c r="K12" s="54" t="s">
        <v>23</v>
      </c>
      <c r="M12" s="30"/>
      <c r="N12" s="52" t="s">
        <v>9</v>
      </c>
      <c r="O12" s="53" t="s">
        <v>55</v>
      </c>
      <c r="P12" s="53" t="s">
        <v>59</v>
      </c>
      <c r="Q12" s="54" t="s">
        <v>29</v>
      </c>
      <c r="S12" s="30"/>
      <c r="T12" s="52" t="s">
        <v>27</v>
      </c>
      <c r="U12" s="53" t="s">
        <v>24</v>
      </c>
      <c r="V12" s="53" t="s">
        <v>59</v>
      </c>
      <c r="W12" s="53" t="s">
        <v>28</v>
      </c>
      <c r="X12" s="54" t="s">
        <v>59</v>
      </c>
    </row>
    <row r="13" spans="1:24" ht="17" outlineLevel="1" thickBot="1" x14ac:dyDescent="0.25">
      <c r="A13" s="30"/>
      <c r="B13" s="55" t="s">
        <v>84</v>
      </c>
      <c r="C13" s="56" t="s">
        <v>29</v>
      </c>
      <c r="D13" s="56" t="s">
        <v>67</v>
      </c>
      <c r="E13" s="56" t="s">
        <v>65</v>
      </c>
      <c r="F13" s="57" t="s">
        <v>83</v>
      </c>
      <c r="G13" s="30"/>
      <c r="H13" s="55" t="s">
        <v>83</v>
      </c>
      <c r="I13" s="56" t="s">
        <v>43</v>
      </c>
      <c r="J13" s="56" t="s">
        <v>55</v>
      </c>
      <c r="K13" s="57" t="s">
        <v>58</v>
      </c>
      <c r="M13" s="30"/>
      <c r="N13" s="55" t="s">
        <v>83</v>
      </c>
      <c r="O13" s="56" t="s">
        <v>6</v>
      </c>
      <c r="P13" s="56" t="s">
        <v>83</v>
      </c>
      <c r="Q13" s="57" t="s">
        <v>19</v>
      </c>
      <c r="S13" s="30"/>
      <c r="T13" s="55" t="s">
        <v>82</v>
      </c>
      <c r="U13" s="56" t="s">
        <v>37</v>
      </c>
      <c r="V13" s="56" t="s">
        <v>55</v>
      </c>
      <c r="W13" s="56" t="s">
        <v>82</v>
      </c>
      <c r="X13" s="57" t="s">
        <v>81</v>
      </c>
    </row>
    <row r="14" spans="1:24" ht="17" thickBot="1" x14ac:dyDescent="0.25"/>
    <row r="15" spans="1:24" x14ac:dyDescent="0.2">
      <c r="B15" s="43" t="s">
        <v>10</v>
      </c>
      <c r="C15" s="44"/>
      <c r="D15" s="44"/>
      <c r="E15" s="45"/>
      <c r="F15" s="41"/>
      <c r="G15" s="7"/>
      <c r="H15" s="58" t="s">
        <v>11</v>
      </c>
      <c r="I15" s="59"/>
      <c r="J15" s="59"/>
      <c r="K15" s="60"/>
      <c r="L15" s="5"/>
      <c r="N15" s="43" t="s">
        <v>12</v>
      </c>
      <c r="O15" s="44"/>
      <c r="P15" s="44"/>
      <c r="Q15" s="44"/>
      <c r="R15" s="45"/>
      <c r="T15" s="58" t="s">
        <v>13</v>
      </c>
      <c r="U15" s="59"/>
      <c r="V15" s="59"/>
      <c r="W15" s="60"/>
      <c r="X15" s="41"/>
    </row>
    <row r="16" spans="1:24" s="24" customFormat="1" x14ac:dyDescent="0.2">
      <c r="B16" s="68">
        <f>X2+7</f>
        <v>45419</v>
      </c>
      <c r="C16" s="69">
        <f t="shared" ref="C16:D16" si="4">B16+7</f>
        <v>45426</v>
      </c>
      <c r="D16" s="69">
        <f t="shared" si="4"/>
        <v>45433</v>
      </c>
      <c r="E16" s="70">
        <f>D16+7</f>
        <v>45440</v>
      </c>
      <c r="G16" s="25"/>
      <c r="H16" s="68">
        <f>E16+7</f>
        <v>45447</v>
      </c>
      <c r="I16" s="69">
        <f>H16+7</f>
        <v>45454</v>
      </c>
      <c r="J16" s="69">
        <f t="shared" ref="J16:K16" si="5">I16+7</f>
        <v>45461</v>
      </c>
      <c r="K16" s="70">
        <f t="shared" si="5"/>
        <v>45468</v>
      </c>
      <c r="N16" s="68">
        <f>K16+7</f>
        <v>45475</v>
      </c>
      <c r="O16" s="69">
        <f>N16+7</f>
        <v>45482</v>
      </c>
      <c r="P16" s="69">
        <f t="shared" ref="P16:Q16" si="6">O16+7</f>
        <v>45489</v>
      </c>
      <c r="Q16" s="69">
        <f t="shared" si="6"/>
        <v>45496</v>
      </c>
      <c r="R16" s="70">
        <f>Q16+7</f>
        <v>45503</v>
      </c>
      <c r="T16" s="68">
        <f>R16+7</f>
        <v>45510</v>
      </c>
      <c r="U16" s="69">
        <f t="shared" ref="U16:W16" si="7">T16+7</f>
        <v>45517</v>
      </c>
      <c r="V16" s="69">
        <f t="shared" si="7"/>
        <v>45524</v>
      </c>
      <c r="W16" s="70">
        <f t="shared" si="7"/>
        <v>45531</v>
      </c>
    </row>
    <row r="17" spans="1:23" x14ac:dyDescent="0.2">
      <c r="A17" s="29" t="s">
        <v>1</v>
      </c>
      <c r="B17" s="49" t="s">
        <v>8</v>
      </c>
      <c r="C17" s="50" t="s">
        <v>7</v>
      </c>
      <c r="D17" s="50" t="s">
        <v>8</v>
      </c>
      <c r="E17" s="51" t="s">
        <v>54</v>
      </c>
      <c r="G17" s="29" t="s">
        <v>1</v>
      </c>
      <c r="H17" s="49" t="s">
        <v>7</v>
      </c>
      <c r="I17" s="50" t="s">
        <v>8</v>
      </c>
      <c r="J17" s="50" t="s">
        <v>7</v>
      </c>
      <c r="K17" s="51" t="s">
        <v>8</v>
      </c>
      <c r="M17" s="29" t="s">
        <v>1</v>
      </c>
      <c r="N17" s="49" t="s">
        <v>7</v>
      </c>
      <c r="O17" s="50" t="s">
        <v>8</v>
      </c>
      <c r="P17" s="50" t="s">
        <v>7</v>
      </c>
      <c r="Q17" s="50" t="s">
        <v>8</v>
      </c>
      <c r="R17" s="51" t="s">
        <v>7</v>
      </c>
      <c r="S17" s="29" t="s">
        <v>1</v>
      </c>
      <c r="T17" s="49" t="s">
        <v>8</v>
      </c>
      <c r="U17" s="50" t="s">
        <v>7</v>
      </c>
      <c r="V17" s="50" t="s">
        <v>8</v>
      </c>
      <c r="W17" s="51" t="s">
        <v>54</v>
      </c>
    </row>
    <row r="18" spans="1:23" x14ac:dyDescent="0.2">
      <c r="A18" s="29"/>
      <c r="B18" s="49" t="s">
        <v>24</v>
      </c>
      <c r="C18" s="50" t="s">
        <v>22</v>
      </c>
      <c r="D18" s="50" t="s">
        <v>18</v>
      </c>
      <c r="E18" s="51" t="s">
        <v>25</v>
      </c>
      <c r="G18" s="29"/>
      <c r="H18" s="49" t="s">
        <v>6</v>
      </c>
      <c r="I18" s="50" t="s">
        <v>53</v>
      </c>
      <c r="J18" s="50" t="s">
        <v>19</v>
      </c>
      <c r="K18" s="51" t="s">
        <v>43</v>
      </c>
      <c r="M18" s="29"/>
      <c r="N18" s="49" t="s">
        <v>6</v>
      </c>
      <c r="O18" s="50" t="s">
        <v>24</v>
      </c>
      <c r="P18" s="50" t="s">
        <v>27</v>
      </c>
      <c r="Q18" s="50" t="s">
        <v>22</v>
      </c>
      <c r="R18" s="51" t="s">
        <v>6</v>
      </c>
      <c r="S18" s="29"/>
      <c r="T18" s="49" t="s">
        <v>29</v>
      </c>
      <c r="U18" s="50" t="s">
        <v>46</v>
      </c>
      <c r="V18" s="50" t="s">
        <v>18</v>
      </c>
      <c r="W18" s="51" t="s">
        <v>57</v>
      </c>
    </row>
    <row r="19" spans="1:23" x14ac:dyDescent="0.2">
      <c r="A19" s="29"/>
      <c r="B19" s="49" t="s">
        <v>27</v>
      </c>
      <c r="C19" s="50" t="s">
        <v>19</v>
      </c>
      <c r="D19" s="50" t="s">
        <v>57</v>
      </c>
      <c r="E19" s="51" t="s">
        <v>64</v>
      </c>
      <c r="G19" s="29"/>
      <c r="H19" s="49" t="s">
        <v>46</v>
      </c>
      <c r="I19" s="50" t="s">
        <v>60</v>
      </c>
      <c r="J19" s="50" t="s">
        <v>18</v>
      </c>
      <c r="K19" s="51" t="s">
        <v>28</v>
      </c>
      <c r="M19" s="29"/>
      <c r="N19" s="49" t="s">
        <v>58</v>
      </c>
      <c r="O19" s="50" t="s">
        <v>67</v>
      </c>
      <c r="P19" s="50" t="s">
        <v>18</v>
      </c>
      <c r="Q19" s="50" t="s">
        <v>26</v>
      </c>
      <c r="R19" s="51" t="s">
        <v>55</v>
      </c>
      <c r="S19" s="29"/>
      <c r="T19" s="49" t="s">
        <v>59</v>
      </c>
      <c r="U19" s="50" t="s">
        <v>19</v>
      </c>
      <c r="V19" s="50" t="s">
        <v>44</v>
      </c>
      <c r="W19" s="51" t="s">
        <v>37</v>
      </c>
    </row>
    <row r="20" spans="1:23" x14ac:dyDescent="0.2">
      <c r="A20" s="29"/>
      <c r="B20" s="49" t="s">
        <v>59</v>
      </c>
      <c r="C20" s="50" t="s">
        <v>29</v>
      </c>
      <c r="D20" s="50" t="s">
        <v>65</v>
      </c>
      <c r="E20" s="79"/>
      <c r="G20" s="29"/>
      <c r="H20" s="80"/>
      <c r="I20" s="78"/>
      <c r="J20" s="50" t="s">
        <v>9</v>
      </c>
      <c r="K20" s="51" t="s">
        <v>26</v>
      </c>
      <c r="M20" s="29"/>
      <c r="N20" s="49" t="s">
        <v>62</v>
      </c>
      <c r="O20" s="50" t="s">
        <v>85</v>
      </c>
      <c r="P20" s="50" t="s">
        <v>84</v>
      </c>
      <c r="Q20" s="78"/>
      <c r="R20" s="51" t="s">
        <v>60</v>
      </c>
      <c r="S20" s="29"/>
      <c r="T20" s="49" t="s">
        <v>82</v>
      </c>
      <c r="U20" s="75" t="s">
        <v>81</v>
      </c>
      <c r="V20" s="50" t="s">
        <v>66</v>
      </c>
      <c r="W20" s="51" t="s">
        <v>42</v>
      </c>
    </row>
    <row r="21" spans="1:23" ht="7" customHeight="1" x14ac:dyDescent="0.2">
      <c r="A21" s="2"/>
      <c r="B21" s="66"/>
      <c r="C21" s="42"/>
      <c r="D21" s="42"/>
      <c r="E21" s="67"/>
      <c r="H21" s="66"/>
      <c r="I21" s="42"/>
      <c r="J21" s="42"/>
      <c r="K21" s="67"/>
      <c r="N21" s="66"/>
      <c r="O21" s="42"/>
      <c r="P21" s="42"/>
      <c r="Q21" s="42"/>
      <c r="R21" s="67"/>
      <c r="T21" s="66"/>
      <c r="U21" s="42"/>
      <c r="V21" s="42"/>
      <c r="W21" s="67"/>
    </row>
    <row r="22" spans="1:23" x14ac:dyDescent="0.2">
      <c r="A22" s="30" t="s">
        <v>2</v>
      </c>
      <c r="B22" s="52" t="s">
        <v>7</v>
      </c>
      <c r="C22" s="53" t="s">
        <v>8</v>
      </c>
      <c r="D22" s="53" t="s">
        <v>7</v>
      </c>
      <c r="E22" s="54" t="s">
        <v>7</v>
      </c>
      <c r="G22" s="30" t="s">
        <v>2</v>
      </c>
      <c r="H22" s="52" t="s">
        <v>7</v>
      </c>
      <c r="I22" s="53" t="s">
        <v>7</v>
      </c>
      <c r="J22" s="53" t="s">
        <v>7</v>
      </c>
      <c r="K22" s="54" t="s">
        <v>7</v>
      </c>
      <c r="M22" s="30" t="s">
        <v>2</v>
      </c>
      <c r="N22" s="52" t="s">
        <v>7</v>
      </c>
      <c r="O22" s="53" t="s">
        <v>7</v>
      </c>
      <c r="P22" s="53" t="s">
        <v>7</v>
      </c>
      <c r="Q22" s="53" t="s">
        <v>7</v>
      </c>
      <c r="R22" s="54" t="s">
        <v>7</v>
      </c>
      <c r="S22" s="30" t="s">
        <v>2</v>
      </c>
      <c r="T22" s="52" t="s">
        <v>7</v>
      </c>
      <c r="U22" s="53" t="s">
        <v>7</v>
      </c>
      <c r="V22" s="53" t="s">
        <v>7</v>
      </c>
      <c r="W22" s="54" t="s">
        <v>7</v>
      </c>
    </row>
    <row r="23" spans="1:23" x14ac:dyDescent="0.2">
      <c r="A23" s="30"/>
      <c r="B23" s="52" t="s">
        <v>8</v>
      </c>
      <c r="C23" s="53" t="s">
        <v>9</v>
      </c>
      <c r="D23" s="53" t="s">
        <v>6</v>
      </c>
      <c r="E23" s="54" t="s">
        <v>8</v>
      </c>
      <c r="G23" s="30"/>
      <c r="H23" s="52" t="s">
        <v>8</v>
      </c>
      <c r="I23" s="53" t="s">
        <v>46</v>
      </c>
      <c r="J23" s="53" t="s">
        <v>8</v>
      </c>
      <c r="K23" s="54" t="s">
        <v>8</v>
      </c>
      <c r="M23" s="30"/>
      <c r="N23" s="52" t="s">
        <v>8</v>
      </c>
      <c r="O23" s="53" t="s">
        <v>6</v>
      </c>
      <c r="P23" s="53" t="s">
        <v>8</v>
      </c>
      <c r="Q23" s="53" t="s">
        <v>8</v>
      </c>
      <c r="R23" s="54" t="s">
        <v>8</v>
      </c>
      <c r="S23" s="30"/>
      <c r="T23" s="52" t="s">
        <v>8</v>
      </c>
      <c r="U23" s="53" t="s">
        <v>8</v>
      </c>
      <c r="V23" s="53" t="s">
        <v>8</v>
      </c>
      <c r="W23" s="54" t="s">
        <v>8</v>
      </c>
    </row>
    <row r="24" spans="1:23" x14ac:dyDescent="0.2">
      <c r="A24" s="30"/>
      <c r="B24" s="52" t="s">
        <v>6</v>
      </c>
      <c r="C24" s="53" t="s">
        <v>53</v>
      </c>
      <c r="D24" s="53" t="s">
        <v>19</v>
      </c>
      <c r="E24" s="54" t="s">
        <v>18</v>
      </c>
      <c r="G24" s="30"/>
      <c r="H24" s="52" t="s">
        <v>18</v>
      </c>
      <c r="I24" s="53" t="s">
        <v>22</v>
      </c>
      <c r="J24" s="53" t="s">
        <v>6</v>
      </c>
      <c r="K24" s="54" t="s">
        <v>53</v>
      </c>
      <c r="M24" s="30"/>
      <c r="N24" s="52" t="s">
        <v>18</v>
      </c>
      <c r="O24" s="53" t="s">
        <v>19</v>
      </c>
      <c r="P24" s="53" t="s">
        <v>9</v>
      </c>
      <c r="Q24" s="53" t="s">
        <v>6</v>
      </c>
      <c r="R24" s="54" t="s">
        <v>18</v>
      </c>
      <c r="S24" s="30"/>
      <c r="T24" s="52" t="s">
        <v>9</v>
      </c>
      <c r="U24" s="53" t="s">
        <v>53</v>
      </c>
      <c r="V24" s="53" t="s">
        <v>6</v>
      </c>
      <c r="W24" s="54" t="s">
        <v>22</v>
      </c>
    </row>
    <row r="25" spans="1:23" x14ac:dyDescent="0.2">
      <c r="A25" s="30"/>
      <c r="B25" s="52" t="s">
        <v>18</v>
      </c>
      <c r="C25" s="53" t="s">
        <v>54</v>
      </c>
      <c r="D25" s="53" t="s">
        <v>23</v>
      </c>
      <c r="E25" s="54" t="s">
        <v>27</v>
      </c>
      <c r="G25" s="30"/>
      <c r="H25" s="52" t="s">
        <v>24</v>
      </c>
      <c r="I25" s="53" t="s">
        <v>57</v>
      </c>
      <c r="J25" s="53" t="s">
        <v>54</v>
      </c>
      <c r="K25" s="54" t="s">
        <v>23</v>
      </c>
      <c r="M25" s="30"/>
      <c r="N25" s="52" t="s">
        <v>22</v>
      </c>
      <c r="O25" s="53" t="s">
        <v>53</v>
      </c>
      <c r="P25" s="53" t="s">
        <v>54</v>
      </c>
      <c r="Q25" s="53" t="s">
        <v>23</v>
      </c>
      <c r="R25" s="54" t="s">
        <v>19</v>
      </c>
      <c r="S25" s="30"/>
      <c r="T25" s="52" t="s">
        <v>28</v>
      </c>
      <c r="U25" s="53" t="s">
        <v>23</v>
      </c>
      <c r="V25" s="53" t="s">
        <v>24</v>
      </c>
      <c r="W25" s="54" t="s">
        <v>58</v>
      </c>
    </row>
    <row r="26" spans="1:23" x14ac:dyDescent="0.2">
      <c r="A26" s="30"/>
      <c r="B26" s="52" t="s">
        <v>28</v>
      </c>
      <c r="C26" s="53" t="s">
        <v>58</v>
      </c>
      <c r="D26" s="53" t="s">
        <v>34</v>
      </c>
      <c r="E26" s="54" t="s">
        <v>63</v>
      </c>
      <c r="G26" s="30"/>
      <c r="H26" s="52" t="s">
        <v>26</v>
      </c>
      <c r="I26" s="53" t="s">
        <v>59</v>
      </c>
      <c r="J26" s="53" t="s">
        <v>28</v>
      </c>
      <c r="K26" s="54" t="s">
        <v>25</v>
      </c>
      <c r="M26" s="30"/>
      <c r="N26" s="52" t="s">
        <v>60</v>
      </c>
      <c r="O26" s="53" t="s">
        <v>59</v>
      </c>
      <c r="P26" s="53" t="s">
        <v>55</v>
      </c>
      <c r="Q26" s="53" t="s">
        <v>25</v>
      </c>
      <c r="R26" s="54" t="s">
        <v>62</v>
      </c>
      <c r="S26" s="30"/>
      <c r="T26" s="52" t="s">
        <v>36</v>
      </c>
      <c r="U26" s="53" t="s">
        <v>60</v>
      </c>
      <c r="V26" s="53" t="s">
        <v>26</v>
      </c>
      <c r="W26" s="54" t="s">
        <v>42</v>
      </c>
    </row>
    <row r="27" spans="1:23" ht="17" thickBot="1" x14ac:dyDescent="0.25">
      <c r="A27" s="30"/>
      <c r="B27" s="55" t="s">
        <v>23</v>
      </c>
      <c r="C27" s="56" t="s">
        <v>7</v>
      </c>
      <c r="D27" s="56" t="s">
        <v>81</v>
      </c>
      <c r="E27" s="57" t="s">
        <v>83</v>
      </c>
      <c r="G27" s="30"/>
      <c r="H27" s="55" t="s">
        <v>55</v>
      </c>
      <c r="I27" s="56" t="s">
        <v>83</v>
      </c>
      <c r="J27" s="81" t="s">
        <v>66</v>
      </c>
      <c r="K27" s="57" t="s">
        <v>29</v>
      </c>
      <c r="M27" s="30"/>
      <c r="N27" s="55" t="s">
        <v>59</v>
      </c>
      <c r="O27" s="56" t="s">
        <v>83</v>
      </c>
      <c r="P27" s="56" t="s">
        <v>67</v>
      </c>
      <c r="Q27" s="56" t="s">
        <v>70</v>
      </c>
      <c r="R27" s="57" t="s">
        <v>85</v>
      </c>
      <c r="S27" s="30"/>
      <c r="T27" s="55" t="s">
        <v>6</v>
      </c>
      <c r="U27" s="56" t="s">
        <v>83</v>
      </c>
      <c r="V27" s="56" t="s">
        <v>44</v>
      </c>
      <c r="W27" s="57" t="s">
        <v>83</v>
      </c>
    </row>
    <row r="28" spans="1:23" ht="17" thickBot="1" x14ac:dyDescent="0.25"/>
    <row r="29" spans="1:23" x14ac:dyDescent="0.2">
      <c r="B29" s="43" t="s">
        <v>14</v>
      </c>
      <c r="C29" s="44"/>
      <c r="D29" s="44"/>
      <c r="E29" s="45"/>
      <c r="F29" s="41"/>
      <c r="G29" s="7"/>
      <c r="H29" s="58" t="s">
        <v>15</v>
      </c>
      <c r="I29" s="59"/>
      <c r="J29" s="59"/>
      <c r="K29" s="59"/>
      <c r="L29" s="60"/>
      <c r="M29" s="41"/>
      <c r="N29" s="43" t="s">
        <v>16</v>
      </c>
      <c r="O29" s="44"/>
      <c r="P29" s="44"/>
      <c r="Q29" s="45"/>
      <c r="R29" s="28"/>
      <c r="T29" s="58" t="s">
        <v>17</v>
      </c>
      <c r="U29" s="59"/>
      <c r="V29" s="59"/>
      <c r="W29" s="60"/>
    </row>
    <row r="30" spans="1:23" s="24" customFormat="1" x14ac:dyDescent="0.2">
      <c r="B30" s="68">
        <f>W16+7</f>
        <v>45538</v>
      </c>
      <c r="C30" s="69">
        <f>B30+7</f>
        <v>45545</v>
      </c>
      <c r="D30" s="69">
        <f t="shared" ref="D30:E30" si="8">C30+7</f>
        <v>45552</v>
      </c>
      <c r="E30" s="70">
        <f t="shared" si="8"/>
        <v>45559</v>
      </c>
      <c r="F30" s="25"/>
      <c r="G30" s="25"/>
      <c r="H30" s="68">
        <f>E30+7</f>
        <v>45566</v>
      </c>
      <c r="I30" s="69">
        <f>H30+7</f>
        <v>45573</v>
      </c>
      <c r="J30" s="69">
        <f t="shared" ref="J30:K30" si="9">I30+7</f>
        <v>45580</v>
      </c>
      <c r="K30" s="69">
        <f t="shared" si="9"/>
        <v>45587</v>
      </c>
      <c r="L30" s="70">
        <f>K30+7</f>
        <v>45594</v>
      </c>
      <c r="M30" s="25"/>
      <c r="N30" s="68">
        <v>45236</v>
      </c>
      <c r="O30" s="69">
        <v>45242</v>
      </c>
      <c r="P30" s="69">
        <f t="shared" ref="P30" si="10">O30+7</f>
        <v>45249</v>
      </c>
      <c r="Q30" s="70">
        <f>P30+7</f>
        <v>45256</v>
      </c>
      <c r="S30" s="29" t="s">
        <v>1</v>
      </c>
      <c r="T30" s="68">
        <f>Q30+7</f>
        <v>45263</v>
      </c>
      <c r="U30" s="69">
        <f t="shared" ref="U30:W30" si="11">T30+7</f>
        <v>45270</v>
      </c>
      <c r="V30" s="69">
        <f t="shared" si="11"/>
        <v>45277</v>
      </c>
      <c r="W30" s="70">
        <f t="shared" si="11"/>
        <v>45284</v>
      </c>
    </row>
    <row r="31" spans="1:23" x14ac:dyDescent="0.2">
      <c r="A31" s="29" t="s">
        <v>1</v>
      </c>
      <c r="B31" s="49" t="s">
        <v>7</v>
      </c>
      <c r="C31" s="50" t="s">
        <v>8</v>
      </c>
      <c r="D31" s="50" t="s">
        <v>7</v>
      </c>
      <c r="E31" s="51" t="s">
        <v>8</v>
      </c>
      <c r="G31" s="29" t="s">
        <v>1</v>
      </c>
      <c r="H31" s="49" t="s">
        <v>7</v>
      </c>
      <c r="I31" s="50" t="s">
        <v>8</v>
      </c>
      <c r="J31" s="50" t="s">
        <v>7</v>
      </c>
      <c r="K31" s="50" t="s">
        <v>8</v>
      </c>
      <c r="L31" s="51" t="s">
        <v>55</v>
      </c>
      <c r="M31" s="29" t="s">
        <v>1</v>
      </c>
      <c r="N31" s="49" t="s">
        <v>7</v>
      </c>
      <c r="O31" s="50" t="s">
        <v>8</v>
      </c>
      <c r="P31" s="50" t="s">
        <v>7</v>
      </c>
      <c r="Q31" s="51" t="s">
        <v>8</v>
      </c>
      <c r="S31" s="29"/>
      <c r="T31" s="49" t="s">
        <v>7</v>
      </c>
      <c r="U31" s="50" t="s">
        <v>8</v>
      </c>
      <c r="V31" s="50" t="s">
        <v>91</v>
      </c>
      <c r="W31" s="76"/>
    </row>
    <row r="32" spans="1:23" x14ac:dyDescent="0.2">
      <c r="A32" s="29"/>
      <c r="B32" s="49" t="s">
        <v>6</v>
      </c>
      <c r="C32" s="50" t="s">
        <v>53</v>
      </c>
      <c r="D32" s="50" t="s">
        <v>19</v>
      </c>
      <c r="E32" s="51" t="s">
        <v>22</v>
      </c>
      <c r="G32" s="29"/>
      <c r="H32" s="49" t="s">
        <v>23</v>
      </c>
      <c r="I32" s="50" t="s">
        <v>43</v>
      </c>
      <c r="J32" s="50" t="s">
        <v>19</v>
      </c>
      <c r="K32" s="50" t="s">
        <v>53</v>
      </c>
      <c r="L32" s="51" t="s">
        <v>29</v>
      </c>
      <c r="M32" s="29"/>
      <c r="N32" s="49" t="s">
        <v>6</v>
      </c>
      <c r="O32" s="50" t="s">
        <v>22</v>
      </c>
      <c r="P32" s="50" t="s">
        <v>19</v>
      </c>
      <c r="Q32" s="51" t="s">
        <v>53</v>
      </c>
      <c r="S32" s="29"/>
      <c r="T32" s="49" t="s">
        <v>23</v>
      </c>
      <c r="U32" s="50" t="s">
        <v>28</v>
      </c>
      <c r="V32" s="77"/>
      <c r="W32" s="76"/>
    </row>
    <row r="33" spans="1:23" x14ac:dyDescent="0.2">
      <c r="A33" s="29"/>
      <c r="B33" s="49" t="s">
        <v>9</v>
      </c>
      <c r="C33" s="50" t="s">
        <v>59</v>
      </c>
      <c r="D33" s="50" t="s">
        <v>24</v>
      </c>
      <c r="E33" s="51" t="s">
        <v>18</v>
      </c>
      <c r="G33" s="29"/>
      <c r="H33" s="49" t="s">
        <v>9</v>
      </c>
      <c r="I33" s="50" t="s">
        <v>27</v>
      </c>
      <c r="J33" s="50" t="s">
        <v>18</v>
      </c>
      <c r="K33" s="50" t="s">
        <v>57</v>
      </c>
      <c r="L33" s="51" t="s">
        <v>58</v>
      </c>
      <c r="M33" s="29"/>
      <c r="N33" s="49" t="s">
        <v>23</v>
      </c>
      <c r="O33" s="50" t="s">
        <v>24</v>
      </c>
      <c r="P33" s="50" t="s">
        <v>18</v>
      </c>
      <c r="Q33" s="51" t="s">
        <v>34</v>
      </c>
      <c r="S33" s="29"/>
      <c r="T33" s="49" t="s">
        <v>54</v>
      </c>
      <c r="U33" s="50" t="s">
        <v>7</v>
      </c>
      <c r="V33" s="77"/>
      <c r="W33" s="76"/>
    </row>
    <row r="34" spans="1:23" ht="17" thickBot="1" x14ac:dyDescent="0.25">
      <c r="A34" s="29"/>
      <c r="B34" s="71" t="s">
        <v>28</v>
      </c>
      <c r="C34" s="73"/>
      <c r="D34" s="72" t="s">
        <v>61</v>
      </c>
      <c r="E34" s="74" t="s">
        <v>65</v>
      </c>
      <c r="G34" s="29"/>
      <c r="H34" s="49" t="s">
        <v>54</v>
      </c>
      <c r="I34" s="50" t="s">
        <v>60</v>
      </c>
      <c r="J34" s="50" t="s">
        <v>36</v>
      </c>
      <c r="K34" s="50" t="s">
        <v>63</v>
      </c>
      <c r="L34" s="79"/>
      <c r="M34" s="29"/>
      <c r="N34" s="49" t="s">
        <v>56</v>
      </c>
      <c r="O34" s="50" t="s">
        <v>61</v>
      </c>
      <c r="P34" s="78"/>
      <c r="Q34" s="51" t="s">
        <v>64</v>
      </c>
      <c r="T34" s="80"/>
      <c r="U34" s="78"/>
      <c r="V34" s="77"/>
      <c r="W34" s="76"/>
    </row>
    <row r="35" spans="1:23" ht="7" customHeight="1" x14ac:dyDescent="0.2">
      <c r="A35" s="2"/>
      <c r="H35" s="66"/>
      <c r="I35" s="42"/>
      <c r="J35" s="42"/>
      <c r="K35" s="42"/>
      <c r="L35" s="67"/>
      <c r="N35" s="66"/>
      <c r="O35" s="42"/>
      <c r="P35" s="42"/>
      <c r="Q35" s="67"/>
      <c r="T35" s="66"/>
      <c r="U35" s="42"/>
      <c r="V35" s="42"/>
      <c r="W35" s="67"/>
    </row>
    <row r="36" spans="1:23" x14ac:dyDescent="0.2">
      <c r="A36" s="30" t="s">
        <v>2</v>
      </c>
      <c r="B36" s="3" t="s">
        <v>7</v>
      </c>
      <c r="C36" s="3" t="s">
        <v>7</v>
      </c>
      <c r="D36" s="3" t="s">
        <v>7</v>
      </c>
      <c r="E36" s="3" t="s">
        <v>7</v>
      </c>
      <c r="G36" s="30" t="s">
        <v>2</v>
      </c>
      <c r="H36" s="52" t="s">
        <v>7</v>
      </c>
      <c r="I36" s="53" t="s">
        <v>7</v>
      </c>
      <c r="J36" s="53" t="s">
        <v>8</v>
      </c>
      <c r="K36" s="53" t="s">
        <v>7</v>
      </c>
      <c r="L36" s="54" t="s">
        <v>7</v>
      </c>
      <c r="M36" s="30" t="s">
        <v>2</v>
      </c>
      <c r="N36" s="52" t="s">
        <v>7</v>
      </c>
      <c r="O36" s="53" t="s">
        <v>7</v>
      </c>
      <c r="P36" s="53" t="s">
        <v>7</v>
      </c>
      <c r="Q36" s="54" t="s">
        <v>7</v>
      </c>
      <c r="S36" s="30" t="s">
        <v>2</v>
      </c>
      <c r="T36" s="52" t="s">
        <v>7</v>
      </c>
      <c r="U36" s="53" t="s">
        <v>7</v>
      </c>
      <c r="V36" s="53" t="s">
        <v>7</v>
      </c>
      <c r="W36" s="67"/>
    </row>
    <row r="37" spans="1:23" x14ac:dyDescent="0.2">
      <c r="A37" s="30"/>
      <c r="B37" s="3" t="s">
        <v>8</v>
      </c>
      <c r="C37" s="3" t="s">
        <v>54</v>
      </c>
      <c r="D37" s="3" t="s">
        <v>8</v>
      </c>
      <c r="E37" s="3" t="s">
        <v>46</v>
      </c>
      <c r="G37" s="30"/>
      <c r="H37" s="52" t="s">
        <v>8</v>
      </c>
      <c r="I37" s="53" t="s">
        <v>6</v>
      </c>
      <c r="J37" s="53" t="s">
        <v>46</v>
      </c>
      <c r="K37" s="53" t="s">
        <v>6</v>
      </c>
      <c r="L37" s="54" t="s">
        <v>8</v>
      </c>
      <c r="M37" s="30"/>
      <c r="N37" s="52" t="s">
        <v>8</v>
      </c>
      <c r="O37" s="53" t="s">
        <v>18</v>
      </c>
      <c r="P37" s="53" t="s">
        <v>8</v>
      </c>
      <c r="Q37" s="54" t="s">
        <v>6</v>
      </c>
      <c r="S37" s="30"/>
      <c r="T37" s="52" t="s">
        <v>8</v>
      </c>
      <c r="U37" s="53" t="s">
        <v>18</v>
      </c>
      <c r="V37" s="53" t="s">
        <v>8</v>
      </c>
      <c r="W37" s="67"/>
    </row>
    <row r="38" spans="1:23" x14ac:dyDescent="0.2">
      <c r="A38" s="30"/>
      <c r="B38" s="3" t="s">
        <v>18</v>
      </c>
      <c r="C38" s="3" t="s">
        <v>23</v>
      </c>
      <c r="D38" s="3" t="s">
        <v>6</v>
      </c>
      <c r="E38" s="3" t="s">
        <v>53</v>
      </c>
      <c r="G38" s="30"/>
      <c r="H38" s="52" t="s">
        <v>53</v>
      </c>
      <c r="I38" s="53" t="s">
        <v>19</v>
      </c>
      <c r="J38" s="53" t="s">
        <v>22</v>
      </c>
      <c r="K38" s="53" t="s">
        <v>23</v>
      </c>
      <c r="L38" s="54" t="s">
        <v>18</v>
      </c>
      <c r="M38" s="30"/>
      <c r="N38" s="52" t="s">
        <v>53</v>
      </c>
      <c r="O38" s="53" t="s">
        <v>46</v>
      </c>
      <c r="P38" s="53" t="s">
        <v>9</v>
      </c>
      <c r="Q38" s="54" t="s">
        <v>54</v>
      </c>
      <c r="S38" s="30"/>
      <c r="T38" s="52" t="s">
        <v>53</v>
      </c>
      <c r="U38" s="53" t="s">
        <v>19</v>
      </c>
      <c r="V38" s="53" t="s">
        <v>54</v>
      </c>
      <c r="W38" s="67"/>
    </row>
    <row r="39" spans="1:23" x14ac:dyDescent="0.2">
      <c r="A39" s="30"/>
      <c r="B39" s="3" t="s">
        <v>19</v>
      </c>
      <c r="C39" s="3" t="s">
        <v>25</v>
      </c>
      <c r="D39" s="3" t="s">
        <v>18</v>
      </c>
      <c r="E39" s="3" t="s">
        <v>27</v>
      </c>
      <c r="G39" s="30"/>
      <c r="H39" s="52" t="s">
        <v>22</v>
      </c>
      <c r="I39" s="53" t="s">
        <v>28</v>
      </c>
      <c r="J39" s="53" t="s">
        <v>24</v>
      </c>
      <c r="K39" s="53" t="s">
        <v>25</v>
      </c>
      <c r="L39" s="54" t="s">
        <v>19</v>
      </c>
      <c r="M39" s="30"/>
      <c r="N39" s="52" t="s">
        <v>54</v>
      </c>
      <c r="O39" s="53" t="s">
        <v>26</v>
      </c>
      <c r="P39" s="53" t="s">
        <v>28</v>
      </c>
      <c r="Q39" s="54" t="s">
        <v>57</v>
      </c>
      <c r="S39" s="30"/>
      <c r="T39" s="52" t="s">
        <v>22</v>
      </c>
      <c r="U39" s="53" t="s">
        <v>29</v>
      </c>
      <c r="V39" s="53" t="s">
        <v>27</v>
      </c>
      <c r="W39" s="67"/>
    </row>
    <row r="40" spans="1:23" x14ac:dyDescent="0.2">
      <c r="A40" s="30"/>
      <c r="B40" s="3" t="s">
        <v>60</v>
      </c>
      <c r="C40" s="3" t="s">
        <v>29</v>
      </c>
      <c r="D40" s="3" t="s">
        <v>55</v>
      </c>
      <c r="E40" s="3" t="s">
        <v>34</v>
      </c>
      <c r="G40" s="30"/>
      <c r="H40" s="52" t="s">
        <v>55</v>
      </c>
      <c r="I40" s="53" t="s">
        <v>61</v>
      </c>
      <c r="J40" s="53" t="s">
        <v>59</v>
      </c>
      <c r="K40" s="53" t="s">
        <v>37</v>
      </c>
      <c r="L40" s="54" t="s">
        <v>63</v>
      </c>
      <c r="M40" s="30"/>
      <c r="N40" s="52" t="s">
        <v>55</v>
      </c>
      <c r="O40" s="53" t="s">
        <v>59</v>
      </c>
      <c r="P40" s="53" t="s">
        <v>60</v>
      </c>
      <c r="Q40" s="54" t="s">
        <v>58</v>
      </c>
      <c r="S40" s="30"/>
      <c r="T40" s="52" t="s">
        <v>24</v>
      </c>
      <c r="U40" s="78"/>
      <c r="V40" s="78"/>
      <c r="W40" s="67"/>
    </row>
    <row r="41" spans="1:23" ht="17" thickBot="1" x14ac:dyDescent="0.25">
      <c r="A41" s="30"/>
      <c r="B41" s="3" t="s">
        <v>62</v>
      </c>
      <c r="C41" s="3" t="s">
        <v>64</v>
      </c>
      <c r="D41" s="3" t="s">
        <v>56</v>
      </c>
      <c r="E41" s="3" t="s">
        <v>36</v>
      </c>
      <c r="G41" s="30"/>
      <c r="H41" s="55" t="s">
        <v>65</v>
      </c>
      <c r="I41" s="56" t="s">
        <v>42</v>
      </c>
      <c r="J41" s="56" t="s">
        <v>83</v>
      </c>
      <c r="K41" s="56" t="s">
        <v>44</v>
      </c>
      <c r="L41" s="57" t="s">
        <v>43</v>
      </c>
      <c r="M41" s="30"/>
      <c r="N41" s="83" t="s">
        <v>66</v>
      </c>
      <c r="O41" s="56" t="s">
        <v>83</v>
      </c>
      <c r="P41" s="81" t="s">
        <v>84</v>
      </c>
      <c r="Q41" s="57" t="s">
        <v>83</v>
      </c>
      <c r="S41" s="30"/>
      <c r="T41" s="55" t="s">
        <v>83</v>
      </c>
      <c r="U41" s="56" t="s">
        <v>83</v>
      </c>
      <c r="V41" s="56" t="s">
        <v>83</v>
      </c>
      <c r="W41" s="82"/>
    </row>
    <row r="43" spans="1:23" x14ac:dyDescent="0.2">
      <c r="B43" s="33" t="s">
        <v>68</v>
      </c>
      <c r="C43" s="33"/>
      <c r="D43" s="10" t="s">
        <v>51</v>
      </c>
      <c r="E43" s="10" t="s">
        <v>52</v>
      </c>
      <c r="F43" s="10" t="s">
        <v>50</v>
      </c>
      <c r="G43" s="11"/>
      <c r="H43" s="10" t="s">
        <v>69</v>
      </c>
      <c r="I43" s="10" t="s">
        <v>93</v>
      </c>
      <c r="J43" s="8" t="s">
        <v>51</v>
      </c>
      <c r="K43" s="8" t="s">
        <v>52</v>
      </c>
      <c r="L43" s="8" t="s">
        <v>50</v>
      </c>
      <c r="M43" s="9"/>
      <c r="N43" s="8" t="s">
        <v>69</v>
      </c>
      <c r="O43" s="8" t="s">
        <v>2</v>
      </c>
      <c r="Q43" s="84" t="s">
        <v>94</v>
      </c>
      <c r="R43" s="84"/>
      <c r="S43" s="84"/>
      <c r="T43" s="84"/>
      <c r="U43" s="84"/>
      <c r="V43" s="84"/>
    </row>
    <row r="44" spans="1:23" x14ac:dyDescent="0.2">
      <c r="B44" s="34" t="s">
        <v>7</v>
      </c>
      <c r="C44" s="34"/>
      <c r="D44">
        <f>COUNTIF(B3:X6,"Mowing")</f>
        <v>10</v>
      </c>
      <c r="E44">
        <f>COUNTIF(B17:W20,"Mowing")</f>
        <v>7</v>
      </c>
      <c r="F44">
        <f>COUNTIF(B31:W34,"Mowing")</f>
        <v>8</v>
      </c>
      <c r="H44">
        <f>SUM(D44:F44)</f>
        <v>25</v>
      </c>
      <c r="I44">
        <v>24</v>
      </c>
      <c r="J44">
        <f>COUNTIF(ButtonsJanApril,"Mowing")</f>
        <v>16</v>
      </c>
      <c r="K44">
        <f>COUNTIF(ButtonsMayAug,"Mowing")</f>
        <v>17</v>
      </c>
      <c r="L44">
        <f>COUNTIF(ButtonsSepDec,"Mowing")</f>
        <v>15</v>
      </c>
      <c r="N44">
        <f>SUM(J44:L44)</f>
        <v>48</v>
      </c>
      <c r="O44">
        <v>48</v>
      </c>
      <c r="Q44" s="84"/>
      <c r="R44" s="84"/>
      <c r="S44" s="84"/>
      <c r="T44" s="84"/>
      <c r="U44" s="84"/>
      <c r="V44" s="84"/>
    </row>
    <row r="45" spans="1:23" x14ac:dyDescent="0.2">
      <c r="B45" s="34" t="s">
        <v>8</v>
      </c>
      <c r="C45" s="34"/>
      <c r="D45">
        <f>COUNTIF(B3:X6,"Cleaning")</f>
        <v>9</v>
      </c>
      <c r="E45">
        <f>COUNTIF(B17:W20,"Cleaning")</f>
        <v>8</v>
      </c>
      <c r="F45">
        <f>COUNTIF(B31:W34,"Cleaning")</f>
        <v>7</v>
      </c>
      <c r="H45">
        <f>SUM(D45:F45)</f>
        <v>24</v>
      </c>
      <c r="I45">
        <v>24</v>
      </c>
      <c r="J45" s="26">
        <f>COUNTIF(ButtonsJanApril,"Cleaning")</f>
        <v>15</v>
      </c>
      <c r="K45">
        <f>COUNTIF(ButtonsMayAug,"Cleaning")</f>
        <v>14</v>
      </c>
      <c r="L45">
        <f>COUNTIF(ButtonsSepDec,"Cleaning")</f>
        <v>9</v>
      </c>
      <c r="N45" s="26">
        <f t="shared" ref="N45:N83" si="12">SUM(J45:L45)</f>
        <v>38</v>
      </c>
      <c r="O45" s="26">
        <v>38</v>
      </c>
      <c r="Q45" s="84"/>
      <c r="R45" s="84"/>
      <c r="S45" s="84"/>
      <c r="T45" s="84"/>
      <c r="U45" s="84"/>
      <c r="V45" s="84"/>
    </row>
    <row r="46" spans="1:23" x14ac:dyDescent="0.2">
      <c r="B46" s="34" t="s">
        <v>6</v>
      </c>
      <c r="C46" s="34"/>
      <c r="D46">
        <f>COUNTIF(B3:X6,"Dog Wash")</f>
        <v>5</v>
      </c>
      <c r="E46">
        <f>COUNTIF(B17:W20,"Dog Wash")</f>
        <v>3</v>
      </c>
      <c r="F46">
        <f>COUNTIF(B31:W34,"Dog Wash")</f>
        <v>2</v>
      </c>
      <c r="H46">
        <f t="shared" ref="H46:H83" si="13">SUM(D46:F46)</f>
        <v>10</v>
      </c>
      <c r="I46">
        <v>10</v>
      </c>
      <c r="J46" s="26">
        <f>COUNTIF(ButtonsJanApril,"Dog Wash")</f>
        <v>5</v>
      </c>
      <c r="K46">
        <f>COUNTIF(ButtonsMayAug,"Dog Wash")</f>
        <v>7</v>
      </c>
      <c r="L46">
        <f>COUNTIF(ButtonsSepDec,"Dog Wash")</f>
        <v>4</v>
      </c>
      <c r="N46" s="26">
        <f t="shared" si="12"/>
        <v>16</v>
      </c>
      <c r="O46" s="26">
        <v>16</v>
      </c>
      <c r="Q46" s="84"/>
      <c r="R46" s="84"/>
      <c r="S46" s="84"/>
      <c r="T46" s="84"/>
      <c r="U46" s="84"/>
      <c r="V46" s="84"/>
    </row>
    <row r="47" spans="1:23" x14ac:dyDescent="0.2">
      <c r="B47" s="34" t="s">
        <v>18</v>
      </c>
      <c r="C47" s="34"/>
      <c r="D47">
        <f>COUNTIF(B3:X6,"Test &amp; Tag")</f>
        <v>3</v>
      </c>
      <c r="E47">
        <f>COUNTIF(B17:W20,"Test &amp; Tag")</f>
        <v>4</v>
      </c>
      <c r="F47">
        <f>COUNTIF(B31:W34,"Test &amp; Tag")</f>
        <v>3</v>
      </c>
      <c r="H47">
        <f t="shared" si="13"/>
        <v>10</v>
      </c>
      <c r="I47" s="6">
        <v>10</v>
      </c>
      <c r="J47">
        <f>COUNTIF(ButtonsJanApril,"Test &amp; Tag")</f>
        <v>6</v>
      </c>
      <c r="K47">
        <f>COUNTIF(ButtonsMayAug,"Test &amp; Tag")</f>
        <v>5</v>
      </c>
      <c r="L47">
        <f>COUNTIF(ButtonsSepDec,"Test &amp; Tag")</f>
        <v>5</v>
      </c>
      <c r="N47" s="26">
        <f t="shared" si="12"/>
        <v>16</v>
      </c>
      <c r="O47" s="26">
        <v>16</v>
      </c>
      <c r="Q47" s="84"/>
      <c r="R47" s="84"/>
      <c r="S47" s="84"/>
      <c r="T47" s="84"/>
      <c r="U47" s="84"/>
      <c r="V47" s="84"/>
    </row>
    <row r="48" spans="1:23" x14ac:dyDescent="0.2">
      <c r="B48" s="34" t="s">
        <v>19</v>
      </c>
      <c r="C48" s="34"/>
      <c r="D48">
        <f>COUNTIF(B3:X6,"Car Detailing")</f>
        <v>2</v>
      </c>
      <c r="E48">
        <f>COUNTIF(B17:W20,"Car Detailing")</f>
        <v>3</v>
      </c>
      <c r="F48">
        <f>COUNTIF(B31:W34,"Car Detailing")</f>
        <v>3</v>
      </c>
      <c r="H48">
        <f t="shared" si="13"/>
        <v>8</v>
      </c>
      <c r="I48">
        <v>8</v>
      </c>
      <c r="J48">
        <f>COUNTIF(ButtonsJanApril,"Car Detailing")</f>
        <v>5</v>
      </c>
      <c r="K48">
        <f>COUNTIF(ButtonsMayAug,"Car Detailing")</f>
        <v>3</v>
      </c>
      <c r="L48">
        <f>COUNTIF(ButtonsSepDec,"Car Detailing")</f>
        <v>4</v>
      </c>
      <c r="N48" s="26">
        <f t="shared" si="12"/>
        <v>12</v>
      </c>
      <c r="O48" s="26">
        <v>12</v>
      </c>
      <c r="Q48" s="84"/>
      <c r="R48" s="84"/>
      <c r="S48" s="84"/>
      <c r="T48" s="84"/>
      <c r="U48" s="84"/>
      <c r="V48" s="84"/>
    </row>
    <row r="49" spans="2:22" x14ac:dyDescent="0.2">
      <c r="B49" s="34" t="s">
        <v>9</v>
      </c>
      <c r="C49" s="34"/>
      <c r="D49">
        <f>COUNTIF(B3:X6,"Antennas")</f>
        <v>1</v>
      </c>
      <c r="E49">
        <f>COUNTIF(B17:W20,"antennas")</f>
        <v>1</v>
      </c>
      <c r="F49">
        <f>COUNTIF(B31:W34,"Antennas")</f>
        <v>2</v>
      </c>
      <c r="H49">
        <f t="shared" si="13"/>
        <v>4</v>
      </c>
      <c r="I49" s="6">
        <v>4</v>
      </c>
      <c r="J49">
        <f>COUNTIF(ButtonsJanApril,"Antennas")</f>
        <v>4</v>
      </c>
      <c r="K49">
        <f>COUNTIF(ButtonsMayAug,"Antennas")</f>
        <v>3</v>
      </c>
      <c r="L49">
        <f>COUNTIF(ButtonsSepDec,"Antennas")</f>
        <v>1</v>
      </c>
      <c r="N49" s="26">
        <f t="shared" si="12"/>
        <v>8</v>
      </c>
      <c r="O49" s="26">
        <f>SUM(J49:L49)</f>
        <v>8</v>
      </c>
      <c r="Q49" s="84"/>
      <c r="R49" s="84"/>
      <c r="S49" s="84"/>
      <c r="T49" s="84"/>
      <c r="U49" s="84"/>
      <c r="V49" s="84"/>
    </row>
    <row r="50" spans="2:22" x14ac:dyDescent="0.2">
      <c r="B50" s="34" t="s">
        <v>49</v>
      </c>
      <c r="C50" s="34"/>
      <c r="D50">
        <f>COUNTIF(B3:X6,"Security")</f>
        <v>2</v>
      </c>
      <c r="E50">
        <f>COUNTIF(B17:W20,"Security")</f>
        <v>2</v>
      </c>
      <c r="F50">
        <f>COUNTIF(B31:W34,"Security")</f>
        <v>0</v>
      </c>
      <c r="H50">
        <f t="shared" si="13"/>
        <v>4</v>
      </c>
      <c r="I50" s="6">
        <v>4</v>
      </c>
      <c r="J50">
        <f>COUNTIF(ButtonsJanApril,"Security")</f>
        <v>2</v>
      </c>
      <c r="K50">
        <f>COUNTIF(ButtonsMayAug,"Security")</f>
        <v>1</v>
      </c>
      <c r="L50">
        <f>COUNTIF(ButtonsSepDec,"Security")</f>
        <v>3</v>
      </c>
      <c r="N50" s="26">
        <f t="shared" si="12"/>
        <v>6</v>
      </c>
      <c r="O50" s="26">
        <f>SUM(J50:L50)</f>
        <v>6</v>
      </c>
    </row>
    <row r="51" spans="2:22" x14ac:dyDescent="0.2">
      <c r="B51" s="34" t="s">
        <v>20</v>
      </c>
      <c r="C51" s="34"/>
      <c r="D51">
        <f>COUNTIF($B3:X6,"Building Insp")</f>
        <v>2</v>
      </c>
      <c r="E51">
        <f>COUNTIF(B17:W20,"Building Insp")</f>
        <v>1</v>
      </c>
      <c r="F51">
        <f>COUNTIF(B31:W34,"Building Insp")</f>
        <v>3</v>
      </c>
      <c r="H51">
        <f t="shared" si="13"/>
        <v>6</v>
      </c>
      <c r="I51" s="6">
        <v>6</v>
      </c>
      <c r="J51">
        <f>COUNTIF(ButtonsJanApril,"Building Insp")</f>
        <v>4</v>
      </c>
      <c r="K51">
        <f>COUNTIF(ButtonsMayAug,"Building Insp")</f>
        <v>4</v>
      </c>
      <c r="L51">
        <f>COUNTIF(ButtonsSepDec,"Building Insp")</f>
        <v>4</v>
      </c>
      <c r="N51" s="26">
        <f t="shared" si="12"/>
        <v>12</v>
      </c>
      <c r="O51" s="26">
        <v>12</v>
      </c>
    </row>
    <row r="52" spans="2:22" x14ac:dyDescent="0.2">
      <c r="B52" s="34" t="s">
        <v>21</v>
      </c>
      <c r="C52" s="34"/>
      <c r="D52">
        <f>COUNTIF(B3:X6,"Carpet C")</f>
        <v>2</v>
      </c>
      <c r="E52">
        <f>COUNTIF(B17:W20,"Carpet C")</f>
        <v>2</v>
      </c>
      <c r="F52">
        <f>COUNTIF(B31:W34,"Carpet C")</f>
        <v>2</v>
      </c>
      <c r="H52">
        <f t="shared" si="13"/>
        <v>6</v>
      </c>
      <c r="I52" s="6">
        <v>6</v>
      </c>
      <c r="J52">
        <f>COUNTIF(ButtonsJanApril,"Carpet C")</f>
        <v>3</v>
      </c>
      <c r="K52">
        <f>COUNTIF(ButtonsMayAug,"Carpet C")</f>
        <v>3</v>
      </c>
      <c r="L52">
        <f>COUNTIF(ButtonsSepDec,"Carpet C")</f>
        <v>4</v>
      </c>
      <c r="N52" s="26">
        <f t="shared" si="12"/>
        <v>10</v>
      </c>
      <c r="O52" s="26">
        <v>10</v>
      </c>
    </row>
    <row r="53" spans="2:22" x14ac:dyDescent="0.2">
      <c r="B53" s="34" t="s">
        <v>22</v>
      </c>
      <c r="C53" s="34"/>
      <c r="D53">
        <f>COUNTIF(B3:X6,"Fencing")</f>
        <v>2</v>
      </c>
      <c r="E53">
        <f>COUNTIF(B17:W20,"Fencing")</f>
        <v>2</v>
      </c>
      <c r="F53">
        <f>COUNTIF(B31:W34,"Fencing")</f>
        <v>2</v>
      </c>
      <c r="H53">
        <f t="shared" si="13"/>
        <v>6</v>
      </c>
      <c r="I53" s="6">
        <v>6</v>
      </c>
      <c r="J53">
        <f>COUNTIF(ButtonsJanApril,"Fencing")</f>
        <v>4</v>
      </c>
      <c r="K53">
        <f>COUNTIF(ButtonsMayAug,"Fencing")</f>
        <v>3</v>
      </c>
      <c r="L53">
        <f>COUNTIF(ButtonsSepDec,"Fencing")</f>
        <v>3</v>
      </c>
      <c r="N53" s="26">
        <f t="shared" si="12"/>
        <v>10</v>
      </c>
      <c r="O53" s="26">
        <v>10</v>
      </c>
    </row>
    <row r="54" spans="2:22" x14ac:dyDescent="0.2">
      <c r="B54" s="34" t="s">
        <v>23</v>
      </c>
      <c r="C54" s="34"/>
      <c r="D54">
        <f>COUNTIF(B3:X6,"Pool Care")</f>
        <v>3</v>
      </c>
      <c r="E54">
        <f>COUNTIF(B17:W20,"Pool Care")</f>
        <v>0</v>
      </c>
      <c r="F54">
        <f>COUNTIF(B31:W34,"Pool Care")</f>
        <v>3</v>
      </c>
      <c r="H54">
        <f t="shared" si="13"/>
        <v>6</v>
      </c>
      <c r="I54" s="6">
        <v>6</v>
      </c>
      <c r="J54">
        <f>COUNTIF(ButtonsJanApril,"Pool Care")</f>
        <v>3</v>
      </c>
      <c r="K54">
        <f>COUNTIF(ButtonsMayAug,"Pool Care")</f>
        <v>5</v>
      </c>
      <c r="L54">
        <f>COUNTIF(ButtonsSepDec,"Pool Care")</f>
        <v>2</v>
      </c>
      <c r="N54" s="26">
        <f t="shared" si="12"/>
        <v>10</v>
      </c>
      <c r="O54" s="26">
        <v>10</v>
      </c>
    </row>
    <row r="55" spans="2:22" x14ac:dyDescent="0.2">
      <c r="B55" s="34" t="s">
        <v>24</v>
      </c>
      <c r="C55" s="34"/>
      <c r="D55">
        <f>COUNTIF(B3:X6,"Skip Bins")</f>
        <v>2</v>
      </c>
      <c r="E55">
        <f>COUNTIF(B17:W20,"Skip Bins")</f>
        <v>2</v>
      </c>
      <c r="F55">
        <f>COUNTIF(B31:W34,"Skip Bins")</f>
        <v>2</v>
      </c>
      <c r="H55">
        <f t="shared" si="13"/>
        <v>6</v>
      </c>
      <c r="I55" s="6">
        <v>6</v>
      </c>
      <c r="J55">
        <f>COUNTIF(ButtonsJanApril,"Skip Bins")</f>
        <v>2</v>
      </c>
      <c r="K55">
        <f>COUNTIF(ButtonsMayAug,"Skip Bins")</f>
        <v>2</v>
      </c>
      <c r="L55">
        <f>COUNTIF(ButtonsSepDec,"Skip Bins")</f>
        <v>2</v>
      </c>
      <c r="N55" s="26">
        <f t="shared" si="12"/>
        <v>6</v>
      </c>
      <c r="O55" s="26">
        <v>6</v>
      </c>
    </row>
    <row r="56" spans="2:22" x14ac:dyDescent="0.2">
      <c r="B56" s="34" t="s">
        <v>25</v>
      </c>
      <c r="C56" s="34"/>
      <c r="D56">
        <f>COUNTIF(B3:X6,"Bookkeeping")</f>
        <v>3</v>
      </c>
      <c r="E56">
        <f>COUNTIF(B17:W20,"Bookkeeping")</f>
        <v>1</v>
      </c>
      <c r="F56">
        <f>COUNTIF(B31:W34,"Bookkeeping")</f>
        <v>0</v>
      </c>
      <c r="H56">
        <f t="shared" si="13"/>
        <v>4</v>
      </c>
      <c r="I56" s="6">
        <v>4</v>
      </c>
      <c r="J56" s="3">
        <f>COUNTIF(ButtonsJanApril,"Bookkeeping")</f>
        <v>2</v>
      </c>
      <c r="K56">
        <f>COUNTIF(ButtonsMayAug,"Bookkeeping")</f>
        <v>2</v>
      </c>
      <c r="L56">
        <f>COUNTIF(ButtonsSepDec,"Bookkeeping")</f>
        <v>2</v>
      </c>
      <c r="N56" s="26">
        <f t="shared" si="12"/>
        <v>6</v>
      </c>
      <c r="O56" s="26">
        <v>6</v>
      </c>
    </row>
    <row r="57" spans="2:22" x14ac:dyDescent="0.2">
      <c r="B57" s="34" t="s">
        <v>26</v>
      </c>
      <c r="C57" s="34"/>
      <c r="D57">
        <f>COUNTIF(B3:X6,"Diggers")</f>
        <v>2</v>
      </c>
      <c r="E57">
        <f>COUNTIF(B17:W20,"Diggers")</f>
        <v>2</v>
      </c>
      <c r="F57">
        <f>COUNTIF(B31:W34,"Diggers")</f>
        <v>0</v>
      </c>
      <c r="H57">
        <f t="shared" si="13"/>
        <v>4</v>
      </c>
      <c r="I57" s="6">
        <v>4</v>
      </c>
      <c r="J57">
        <f>COUNTIF(ButtonsJanApril,"Diggers")</f>
        <v>1</v>
      </c>
      <c r="K57">
        <f>COUNTIF(ButtonsMayAug,"Diggers")</f>
        <v>2</v>
      </c>
      <c r="L57">
        <f>COUNTIF(ButtonsSepDec,"Diggers")</f>
        <v>1</v>
      </c>
      <c r="N57" s="26">
        <f t="shared" si="12"/>
        <v>4</v>
      </c>
      <c r="O57" s="26">
        <v>4</v>
      </c>
    </row>
    <row r="58" spans="2:22" x14ac:dyDescent="0.2">
      <c r="B58" s="34" t="s">
        <v>27</v>
      </c>
      <c r="C58" s="34"/>
      <c r="D58">
        <f>COUNTIF(B3:X6,"Energy")</f>
        <v>1</v>
      </c>
      <c r="E58">
        <f>COUNTIF(B17:W20,"Energy")</f>
        <v>2</v>
      </c>
      <c r="F58">
        <f>COUNTIF(B31:W34,"Energy")</f>
        <v>1</v>
      </c>
      <c r="H58">
        <f t="shared" si="13"/>
        <v>4</v>
      </c>
      <c r="I58" s="6">
        <v>4</v>
      </c>
      <c r="J58">
        <f>COUNTIF(ButtonsJanApril,"Energy")</f>
        <v>1</v>
      </c>
      <c r="K58">
        <f>COUNTIF(ButtonsMayAug,"Energy")</f>
        <v>1</v>
      </c>
      <c r="L58">
        <f>COUNTIF(ButtonsSepDec,"Energy")</f>
        <v>2</v>
      </c>
      <c r="N58" s="26">
        <f t="shared" si="12"/>
        <v>4</v>
      </c>
      <c r="O58" s="26">
        <v>4</v>
      </c>
    </row>
    <row r="59" spans="2:22" x14ac:dyDescent="0.2">
      <c r="B59" s="34" t="s">
        <v>28</v>
      </c>
      <c r="C59" s="34"/>
      <c r="D59">
        <f>COUNTIF(B3:X6,"Handyman")</f>
        <v>1</v>
      </c>
      <c r="E59">
        <f>COUNTIF(B17:W20,"Handyman")</f>
        <v>1</v>
      </c>
      <c r="F59">
        <f>COUNTIF(B31:W34,"Handyman")</f>
        <v>2</v>
      </c>
      <c r="H59">
        <f t="shared" si="13"/>
        <v>4</v>
      </c>
      <c r="I59" s="6">
        <v>4</v>
      </c>
      <c r="J59">
        <f>COUNTIF(ButtonsJanApril,"Handyman")</f>
        <v>3</v>
      </c>
      <c r="K59">
        <f>COUNTIF(ButtonsMayAug,"Handyman")</f>
        <v>3</v>
      </c>
      <c r="L59">
        <f>COUNTIF(ButtonsSepDec,"Handyman")</f>
        <v>2</v>
      </c>
      <c r="N59" s="26">
        <f t="shared" si="12"/>
        <v>8</v>
      </c>
      <c r="O59" s="26">
        <v>8</v>
      </c>
    </row>
    <row r="60" spans="2:22" x14ac:dyDescent="0.2">
      <c r="B60" s="34" t="s">
        <v>57</v>
      </c>
      <c r="C60" s="34"/>
      <c r="D60">
        <f>COUNTIF(B3:X6,"Hazmat")</f>
        <v>1</v>
      </c>
      <c r="E60">
        <f>COUNTIF(B17:W20,"Hazmat")</f>
        <v>2</v>
      </c>
      <c r="F60">
        <f>COUNTIF(B31:W34,"Hazmat")</f>
        <v>1</v>
      </c>
      <c r="H60">
        <f t="shared" si="13"/>
        <v>4</v>
      </c>
      <c r="I60" s="6">
        <v>4</v>
      </c>
      <c r="J60">
        <f>COUNTIF(ButtonsJanApril,"Hazmat")</f>
        <v>2</v>
      </c>
      <c r="K60">
        <f>COUNTIF(ButtonsMayAug,"Hazmat")</f>
        <v>1</v>
      </c>
      <c r="L60">
        <f>COUNTIF(ButtonsSepDec,"Hazmat")</f>
        <v>1</v>
      </c>
      <c r="N60" s="26">
        <f t="shared" si="12"/>
        <v>4</v>
      </c>
      <c r="O60" s="26">
        <v>4</v>
      </c>
    </row>
    <row r="61" spans="2:22" x14ac:dyDescent="0.2">
      <c r="B61" s="34" t="s">
        <v>29</v>
      </c>
      <c r="C61" s="34"/>
      <c r="D61">
        <f>COUNTIF(B3:X6,"IT")</f>
        <v>1</v>
      </c>
      <c r="E61">
        <f>COUNTIF(B17:W20,"IT")</f>
        <v>2</v>
      </c>
      <c r="F61">
        <f>COUNTIF(B31:W34,"IT")</f>
        <v>1</v>
      </c>
      <c r="H61">
        <f t="shared" si="13"/>
        <v>4</v>
      </c>
      <c r="I61" s="6">
        <v>4</v>
      </c>
      <c r="J61">
        <f>COUNTIF(ButtonsJanApril,"IT")</f>
        <v>2</v>
      </c>
      <c r="K61">
        <f>COUNTIF(ButtonsMayAug,"IT")</f>
        <v>2</v>
      </c>
      <c r="L61">
        <f>COUNTIF(ButtonsSepDec,"IT")</f>
        <v>2</v>
      </c>
      <c r="N61" s="26">
        <f t="shared" si="12"/>
        <v>6</v>
      </c>
      <c r="O61" s="26">
        <v>6</v>
      </c>
    </row>
    <row r="62" spans="2:22" x14ac:dyDescent="0.2">
      <c r="B62" s="34" t="s">
        <v>30</v>
      </c>
      <c r="C62" s="34"/>
      <c r="D62">
        <f>COUNTIF(B3:X6,"Laundry")</f>
        <v>2</v>
      </c>
      <c r="E62">
        <f>COUNTIF(B17:W20,"Laundry")</f>
        <v>1</v>
      </c>
      <c r="F62">
        <f>COUNTIF(B31:W34,"Laundry")</f>
        <v>1</v>
      </c>
      <c r="H62">
        <f t="shared" si="13"/>
        <v>4</v>
      </c>
      <c r="I62" s="6">
        <v>4</v>
      </c>
      <c r="J62">
        <f>COUNTIF(ButtonsJanApril,"Laundry")</f>
        <v>1</v>
      </c>
      <c r="K62">
        <f>COUNTIF(ButtonsMayAug,"Laundry")</f>
        <v>2</v>
      </c>
      <c r="L62">
        <f>COUNTIF(ButtonsSepDec,"Laundry")</f>
        <v>1</v>
      </c>
      <c r="N62" s="26">
        <f t="shared" si="12"/>
        <v>4</v>
      </c>
      <c r="O62" s="26">
        <v>4</v>
      </c>
    </row>
    <row r="63" spans="2:22" x14ac:dyDescent="0.2">
      <c r="B63" s="34" t="s">
        <v>31</v>
      </c>
      <c r="C63" s="34"/>
      <c r="D63">
        <f>COUNTIF(B3:X6,"Pest Control")</f>
        <v>1</v>
      </c>
      <c r="E63">
        <f>COUNTIF(B17:W20,"Pest Control")</f>
        <v>2</v>
      </c>
      <c r="F63">
        <f>COUNTIF(B31:W34,"Pest Control")</f>
        <v>1</v>
      </c>
      <c r="H63">
        <f t="shared" si="13"/>
        <v>4</v>
      </c>
      <c r="I63" s="6">
        <v>4</v>
      </c>
      <c r="J63">
        <f>COUNTIF(ButtonsJanApril,"Pest Control")</f>
        <v>3</v>
      </c>
      <c r="K63">
        <f>COUNTIF(ButtonsMayAug,"Pest Control")</f>
        <v>3</v>
      </c>
      <c r="L63">
        <f>COUNTIF(ButtonsSepDec,"Pest Control")</f>
        <v>2</v>
      </c>
      <c r="N63" s="26">
        <f t="shared" si="12"/>
        <v>8</v>
      </c>
      <c r="O63" s="26">
        <v>8</v>
      </c>
    </row>
    <row r="64" spans="2:22" x14ac:dyDescent="0.2">
      <c r="B64" s="34" t="s">
        <v>32</v>
      </c>
      <c r="C64" s="34"/>
      <c r="D64">
        <f>COUNTIF(B3:X6,"Trees")</f>
        <v>1</v>
      </c>
      <c r="E64">
        <f>COUNTIF(B17:W20,"Trees")</f>
        <v>2</v>
      </c>
      <c r="F64">
        <f>COUNTIF(B31:W34,"Trees")</f>
        <v>1</v>
      </c>
      <c r="H64">
        <f t="shared" si="13"/>
        <v>4</v>
      </c>
      <c r="I64" s="6">
        <v>4</v>
      </c>
      <c r="J64">
        <f>COUNTIF(ButtonsJanApril,"Trees")</f>
        <v>0</v>
      </c>
      <c r="K64">
        <f>COUNTIF(ButtonsMayAug,"Trees")</f>
        <v>2</v>
      </c>
      <c r="L64">
        <f>COUNTIF(ButtonsSepDec,"Trees")</f>
        <v>2</v>
      </c>
      <c r="N64" s="26">
        <f t="shared" si="12"/>
        <v>4</v>
      </c>
      <c r="O64" s="26">
        <v>4</v>
      </c>
    </row>
    <row r="65" spans="2:18" x14ac:dyDescent="0.2">
      <c r="B65" s="34" t="s">
        <v>33</v>
      </c>
      <c r="C65" s="34"/>
      <c r="D65">
        <f>COUNTIF(B3:X6,"Window Pres")</f>
        <v>2</v>
      </c>
      <c r="E65">
        <f>COUNTIF(B17:V20,"Window Pres")</f>
        <v>1</v>
      </c>
      <c r="F65">
        <f>COUNTIF(B31:W34,"Window Pres")</f>
        <v>1</v>
      </c>
      <c r="H65">
        <f t="shared" si="13"/>
        <v>4</v>
      </c>
      <c r="I65" s="6">
        <v>4</v>
      </c>
      <c r="J65">
        <f>COUNTIF(ButtonsJanApril,"Window Pres")</f>
        <v>3</v>
      </c>
      <c r="K65">
        <f>COUNTIF(ButtonsMayAug,"Window Pres")</f>
        <v>2</v>
      </c>
      <c r="L65">
        <f>COUNTIF(ButtonsSepDec,"Window Pres")</f>
        <v>3</v>
      </c>
      <c r="N65" s="26">
        <f t="shared" si="12"/>
        <v>8</v>
      </c>
      <c r="O65" s="26">
        <v>8</v>
      </c>
    </row>
    <row r="66" spans="2:18" x14ac:dyDescent="0.2">
      <c r="B66" s="34" t="s">
        <v>34</v>
      </c>
      <c r="C66" s="34"/>
      <c r="D66">
        <f>COUNTIF(B3:X6,"Bin Cleaning")</f>
        <v>1</v>
      </c>
      <c r="E66">
        <f>COUNTIF(B17:W20,"Bin Cleaning")</f>
        <v>0</v>
      </c>
      <c r="F66">
        <f>COUNTIF(B31:W34,"Bin Cleaning")</f>
        <v>1</v>
      </c>
      <c r="H66">
        <f t="shared" si="13"/>
        <v>2</v>
      </c>
      <c r="I66" s="6">
        <v>2</v>
      </c>
      <c r="J66">
        <f>COUNTIF(ButtonsJanApril,"Bin Cleaning")</f>
        <v>0</v>
      </c>
      <c r="K66">
        <f>COUNTIF(ButtonsMayAug,"Bin Cleaning")</f>
        <v>1</v>
      </c>
      <c r="L66">
        <f>COUNTIF(ButtonsSepDec,"Bin Cleaning")</f>
        <v>1</v>
      </c>
      <c r="N66" s="26">
        <f t="shared" si="12"/>
        <v>2</v>
      </c>
      <c r="O66" s="26">
        <v>2</v>
      </c>
    </row>
    <row r="67" spans="2:18" x14ac:dyDescent="0.2">
      <c r="B67" s="31" t="s">
        <v>35</v>
      </c>
      <c r="C67" s="31"/>
      <c r="D67">
        <f>COUNTIF(B3:X6,"Blind C")</f>
        <v>1</v>
      </c>
      <c r="E67">
        <f>COUNTIF(B17:V20,"Blind C")</f>
        <v>0</v>
      </c>
      <c r="F67">
        <f>COUNTIF(B31:W34,"Blind C")</f>
        <v>1</v>
      </c>
      <c r="H67">
        <f t="shared" si="13"/>
        <v>2</v>
      </c>
      <c r="I67" s="6">
        <v>2</v>
      </c>
      <c r="J67">
        <f>COUNTIF(ButtonsJanApril,"Blind C")</f>
        <v>1</v>
      </c>
      <c r="K67">
        <f>COUNTIF(ButtonsMayAug,"Blind C")</f>
        <v>0</v>
      </c>
      <c r="L67">
        <f>COUNTIF(ButtonsSepDec,"Blind C")</f>
        <v>1</v>
      </c>
      <c r="N67" s="26">
        <f t="shared" si="12"/>
        <v>2</v>
      </c>
      <c r="O67" s="26">
        <v>2</v>
      </c>
    </row>
    <row r="68" spans="2:18" ht="31" customHeight="1" x14ac:dyDescent="0.2">
      <c r="B68" s="32" t="s">
        <v>80</v>
      </c>
      <c r="C68" s="32"/>
      <c r="D68">
        <f>COUNTIF(B3:X6,"Flyscreens")</f>
        <v>0</v>
      </c>
      <c r="E68" s="26">
        <f>COUNTIF(B18:V21,"Flyscreens")</f>
        <v>0</v>
      </c>
      <c r="F68">
        <f>COUNTIF(B31:W34,"Flyscreens")</f>
        <v>2</v>
      </c>
      <c r="H68">
        <f t="shared" si="13"/>
        <v>2</v>
      </c>
      <c r="I68" s="6">
        <v>2</v>
      </c>
      <c r="J68">
        <f>COUNTIF(ButtonsJanApril,"Flyscreens")</f>
        <v>1</v>
      </c>
      <c r="K68">
        <f>COUNTIF(ButtonsMayAug,"Flyscreens")</f>
        <v>0</v>
      </c>
      <c r="L68">
        <f>COUNTIF(ButtonsSepDec,"Flyscreens")</f>
        <v>1</v>
      </c>
      <c r="N68" s="26">
        <f t="shared" si="12"/>
        <v>2</v>
      </c>
      <c r="O68" s="26">
        <v>2</v>
      </c>
    </row>
    <row r="69" spans="2:18" x14ac:dyDescent="0.2">
      <c r="B69" s="31" t="s">
        <v>36</v>
      </c>
      <c r="C69" s="31"/>
      <c r="D69">
        <f>COUNTIF(B3:X6,"Conveyancing")</f>
        <v>1</v>
      </c>
      <c r="E69">
        <f>COUNTIF(B17:W20,"Conveyancing")</f>
        <v>0</v>
      </c>
      <c r="F69">
        <f>COUNTIF(B31:W34,"Conveyancing")</f>
        <v>1</v>
      </c>
      <c r="H69">
        <f t="shared" si="13"/>
        <v>2</v>
      </c>
      <c r="I69" s="6">
        <v>2</v>
      </c>
      <c r="J69">
        <f>COUNTIF(ButtonsJanApril,"Conveyancing")</f>
        <v>0</v>
      </c>
      <c r="K69">
        <f>COUNTIF(ButtonsMayAug,"Conveyancing")</f>
        <v>1</v>
      </c>
      <c r="L69">
        <f>COUNTIF(ButtonsSepDec,"Conveyancing")</f>
        <v>1</v>
      </c>
      <c r="N69" s="26">
        <f t="shared" si="12"/>
        <v>2</v>
      </c>
      <c r="O69" s="26">
        <v>2</v>
      </c>
    </row>
    <row r="70" spans="2:18" x14ac:dyDescent="0.2">
      <c r="B70" s="31" t="s">
        <v>37</v>
      </c>
      <c r="C70" s="31"/>
      <c r="D70">
        <f>COUNTIF(B3:X6,"Electrical")</f>
        <v>1</v>
      </c>
      <c r="E70">
        <f>COUNTIF(B17:W20,"Electrical")</f>
        <v>1</v>
      </c>
      <c r="F70">
        <f>COUNTIF(B31:W34,"Electrical")</f>
        <v>0</v>
      </c>
      <c r="H70">
        <f t="shared" si="13"/>
        <v>2</v>
      </c>
      <c r="I70" s="6">
        <v>2</v>
      </c>
      <c r="J70">
        <f>COUNTIF(ButtonsJanApril,"Electrical")</f>
        <v>1</v>
      </c>
      <c r="K70">
        <f>COUNTIF(ButtonsMayAug,"Electrical")</f>
        <v>0</v>
      </c>
      <c r="L70">
        <f>COUNTIF(ButtonsSepDec,"Electrical")</f>
        <v>1</v>
      </c>
      <c r="N70" s="26">
        <f t="shared" si="12"/>
        <v>2</v>
      </c>
      <c r="O70" s="26">
        <v>2</v>
      </c>
    </row>
    <row r="71" spans="2:18" x14ac:dyDescent="0.2">
      <c r="B71" s="31" t="s">
        <v>38</v>
      </c>
      <c r="C71" s="31"/>
      <c r="D71">
        <f>COUNTIF(B3:X6,"Financial")</f>
        <v>1</v>
      </c>
      <c r="E71">
        <f>COUNTIF(B17:W20,"Financial")</f>
        <v>1</v>
      </c>
      <c r="F71">
        <f>COUNTIF(B31:W34,"Financial")</f>
        <v>0</v>
      </c>
      <c r="H71">
        <f t="shared" si="13"/>
        <v>2</v>
      </c>
      <c r="I71" s="6">
        <v>2</v>
      </c>
      <c r="J71">
        <f>COUNTIF(ButtonsJanApril,"Financial")</f>
        <v>0</v>
      </c>
      <c r="K71">
        <f>COUNTIF(ButtonsMayAug,"Financial")</f>
        <v>1</v>
      </c>
      <c r="L71">
        <f>COUNTIF(ButtonsSepDec,"Financial")</f>
        <v>1</v>
      </c>
      <c r="N71" s="26">
        <f t="shared" si="12"/>
        <v>2</v>
      </c>
      <c r="O71" s="26">
        <v>2</v>
      </c>
    </row>
    <row r="72" spans="2:18" x14ac:dyDescent="0.2">
      <c r="B72" s="31" t="s">
        <v>39</v>
      </c>
      <c r="C72" s="31"/>
      <c r="D72">
        <f>COUNTIF(B3:X6,"Castles")</f>
        <v>1</v>
      </c>
      <c r="E72">
        <f>COUNTIF(B17:W20,"Castles")</f>
        <v>0</v>
      </c>
      <c r="F72">
        <f>COUNTIF(B31:W34,"Castles")</f>
        <v>1</v>
      </c>
      <c r="H72">
        <f t="shared" si="13"/>
        <v>2</v>
      </c>
      <c r="I72" s="6">
        <v>2</v>
      </c>
      <c r="J72">
        <f>COUNTIF(ButtonsJanApril,"Castles")</f>
        <v>0</v>
      </c>
      <c r="K72">
        <f>COUNTIF(ButtonsMayAug,"Castles")</f>
        <v>1</v>
      </c>
      <c r="L72">
        <f>COUNTIF(ButtonsSepDec,"Castles")</f>
        <v>1</v>
      </c>
      <c r="N72" s="26">
        <f t="shared" si="12"/>
        <v>2</v>
      </c>
      <c r="O72" s="26">
        <v>2</v>
      </c>
    </row>
    <row r="73" spans="2:18" x14ac:dyDescent="0.2">
      <c r="B73" s="31" t="s">
        <v>40</v>
      </c>
      <c r="C73" s="31"/>
      <c r="D73">
        <f>COUNTIF(B3:X6,"Mechanics")</f>
        <v>0</v>
      </c>
      <c r="E73">
        <f>COUNTIF(B17:W20,"Mechanics")</f>
        <v>1</v>
      </c>
      <c r="F73">
        <f>COUNTIF(B31:W34,"Mechanics")</f>
        <v>1</v>
      </c>
      <c r="H73">
        <f t="shared" si="13"/>
        <v>2</v>
      </c>
      <c r="I73" s="6">
        <v>2</v>
      </c>
      <c r="J73">
        <f>COUNTIF(ButtonsJanApril,"Mechanics")</f>
        <v>1</v>
      </c>
      <c r="K73">
        <f>COUNTIF(ButtonsMayAug,"Mechanics")</f>
        <v>0</v>
      </c>
      <c r="L73">
        <f>COUNTIF(ButtonsSepDec,"Mechanics")</f>
        <v>1</v>
      </c>
      <c r="N73" s="26">
        <f t="shared" si="12"/>
        <v>2</v>
      </c>
      <c r="O73" s="26">
        <v>2</v>
      </c>
    </row>
    <row r="74" spans="2:18" x14ac:dyDescent="0.2">
      <c r="B74" s="31" t="s">
        <v>41</v>
      </c>
      <c r="C74" s="31"/>
      <c r="D74">
        <f>COUNTIF(B3:X6,"Tyres")</f>
        <v>0</v>
      </c>
      <c r="E74">
        <f>COUNTIF(B17:W20,"Tyres")</f>
        <v>1</v>
      </c>
      <c r="F74">
        <f>COUNTIF(B31:W34,"Tyres")</f>
        <v>1</v>
      </c>
      <c r="H74">
        <f t="shared" si="13"/>
        <v>2</v>
      </c>
      <c r="I74" s="6">
        <v>2</v>
      </c>
      <c r="J74">
        <f>COUNTIF(ButtonsJanApril,"Tyres")</f>
        <v>1</v>
      </c>
      <c r="K74">
        <f>COUNTIF(ButtonsMayAug,"Tyres")</f>
        <v>0</v>
      </c>
      <c r="L74">
        <f>COUNTIF(ButtonsSepDec,"Tyres")</f>
        <v>1</v>
      </c>
      <c r="N74" s="26">
        <f t="shared" si="12"/>
        <v>2</v>
      </c>
      <c r="O74" s="26">
        <v>2</v>
      </c>
    </row>
    <row r="75" spans="2:18" x14ac:dyDescent="0.2">
      <c r="B75" s="31" t="s">
        <v>42</v>
      </c>
      <c r="C75" s="31"/>
      <c r="D75">
        <f>COUNTIF(B3:X6,"Painting")</f>
        <v>1</v>
      </c>
      <c r="E75">
        <f>COUNTIF(B17:W20,"Painting")</f>
        <v>1</v>
      </c>
      <c r="F75">
        <f>COUNTIF(B31:W34,"Painting")</f>
        <v>0</v>
      </c>
      <c r="H75">
        <f t="shared" si="13"/>
        <v>2</v>
      </c>
      <c r="I75" s="6">
        <v>2</v>
      </c>
      <c r="J75">
        <f>COUNTIF(ButtonsJanApril,"Painting")</f>
        <v>0</v>
      </c>
      <c r="K75">
        <f>COUNTIF(ButtonsMayAug,"Painting")</f>
        <v>1</v>
      </c>
      <c r="L75">
        <f>COUNTIF(ButtonsSepDec,"Painting")</f>
        <v>1</v>
      </c>
      <c r="N75" s="26">
        <f t="shared" si="12"/>
        <v>2</v>
      </c>
      <c r="O75" s="26">
        <v>2</v>
      </c>
    </row>
    <row r="76" spans="2:18" x14ac:dyDescent="0.2">
      <c r="B76" s="31" t="s">
        <v>43</v>
      </c>
      <c r="C76" s="31"/>
      <c r="D76">
        <f>COUNTIF(B3:X6,"Pet patrol")</f>
        <v>0</v>
      </c>
      <c r="E76">
        <f>COUNTIF(B17:W20,"Pet Patrol")</f>
        <v>1</v>
      </c>
      <c r="F76">
        <f>COUNTIF(B31:W34,"pet patrol")</f>
        <v>1</v>
      </c>
      <c r="H76">
        <f t="shared" si="13"/>
        <v>2</v>
      </c>
      <c r="I76" s="6">
        <v>2</v>
      </c>
      <c r="J76">
        <f>COUNTIF(ButtonsJanApril,"Pet Patrol")</f>
        <v>1</v>
      </c>
      <c r="K76">
        <f>COUNTIF(ButtonsMayAug,"Pet Patrol")</f>
        <v>0</v>
      </c>
      <c r="L76">
        <f>COUNTIF(ButtonsSepDec,"Pet Patrol")</f>
        <v>1</v>
      </c>
      <c r="N76" s="26">
        <f t="shared" si="12"/>
        <v>2</v>
      </c>
      <c r="O76" s="26">
        <v>2</v>
      </c>
    </row>
    <row r="77" spans="2:18" x14ac:dyDescent="0.2">
      <c r="B77" s="31" t="s">
        <v>44</v>
      </c>
      <c r="C77" s="31"/>
      <c r="D77">
        <f>COUNTIF(B3:X6,"Plumbing")</f>
        <v>1</v>
      </c>
      <c r="E77">
        <f>COUNTIF(B17:W20,"Plumbing")</f>
        <v>1</v>
      </c>
      <c r="F77">
        <f>COUNTIF(B31:W34,"Plumbing")</f>
        <v>0</v>
      </c>
      <c r="H77">
        <f t="shared" si="13"/>
        <v>2</v>
      </c>
      <c r="I77" s="6">
        <v>2</v>
      </c>
      <c r="J77">
        <f>COUNTIF(ButtonsJanApril,"Plumbing")</f>
        <v>0</v>
      </c>
      <c r="K77">
        <f>COUNTIF(ButtonsMayAug,"Plumbing")</f>
        <v>1</v>
      </c>
      <c r="L77">
        <f>COUNTIF(ButtonsSepDec,"Plumbing")</f>
        <v>1</v>
      </c>
      <c r="N77" s="26">
        <f t="shared" si="12"/>
        <v>2</v>
      </c>
      <c r="O77" s="26">
        <v>2</v>
      </c>
    </row>
    <row r="78" spans="2:18" x14ac:dyDescent="0.2">
      <c r="B78" s="34" t="s">
        <v>82</v>
      </c>
      <c r="C78" s="34"/>
      <c r="D78">
        <f>COUNTIF(B3:X6,"Bathrooms")</f>
        <v>1</v>
      </c>
      <c r="E78">
        <f>COUNTIF(B17:W20,"Bathrooms")</f>
        <v>1</v>
      </c>
      <c r="F78">
        <f>COUNTIF(B31:W34,"Bathrooms")</f>
        <v>0</v>
      </c>
      <c r="H78">
        <f t="shared" si="13"/>
        <v>2</v>
      </c>
      <c r="I78" s="6">
        <v>2</v>
      </c>
      <c r="J78">
        <f>COUNTIF(ButtonsJanApril,"Bathrooms")</f>
        <v>2</v>
      </c>
      <c r="K78">
        <f>COUNTIF(ButtonsMayAug,"Bathrooms")</f>
        <v>0</v>
      </c>
      <c r="L78">
        <f>COUNTIF(ButtonsSepDec,"Bathrooms")</f>
        <v>0</v>
      </c>
      <c r="N78" s="26">
        <f t="shared" si="12"/>
        <v>2</v>
      </c>
      <c r="O78" s="26">
        <v>2</v>
      </c>
    </row>
    <row r="79" spans="2:18" s="21" customFormat="1" x14ac:dyDescent="0.2">
      <c r="B79" s="37" t="s">
        <v>81</v>
      </c>
      <c r="C79" s="37"/>
      <c r="D79" s="21">
        <f>COUNTIF(B3:X6,"Roofing")</f>
        <v>1</v>
      </c>
      <c r="E79" s="26">
        <f>COUNTIF(B17:W20,"Roofing")</f>
        <v>1</v>
      </c>
      <c r="F79" s="21">
        <f>COUNTIF(B31:W34,"Roofing")</f>
        <v>0</v>
      </c>
      <c r="H79" s="21">
        <f t="shared" si="13"/>
        <v>2</v>
      </c>
      <c r="I79" s="6">
        <v>2</v>
      </c>
      <c r="J79" s="21">
        <f>COUNTIF(B8:X13,"Roofing")</f>
        <v>1</v>
      </c>
      <c r="K79" s="21">
        <f>COUNTIF(ButtonsMayAug,"Roofing")</f>
        <v>1</v>
      </c>
      <c r="L79" s="21">
        <f>COUNTIF(ButtonsSepDec,"Roofing")</f>
        <v>0</v>
      </c>
      <c r="N79" s="26">
        <f t="shared" si="12"/>
        <v>2</v>
      </c>
      <c r="O79" s="26">
        <v>2</v>
      </c>
      <c r="R79" s="23"/>
    </row>
    <row r="80" spans="2:18" x14ac:dyDescent="0.2">
      <c r="B80" s="31" t="s">
        <v>45</v>
      </c>
      <c r="C80" s="31"/>
      <c r="D80">
        <f>COUNTIF(B3:X6,"Scratch &amp; D")</f>
        <v>1</v>
      </c>
      <c r="E80">
        <f>COUNTIF(B17:W20,"Scratch &amp; D")</f>
        <v>1</v>
      </c>
      <c r="F80">
        <f>COUNTIF(B31:W34,"Scratch &amp; D")</f>
        <v>0</v>
      </c>
      <c r="H80">
        <f t="shared" si="13"/>
        <v>2</v>
      </c>
      <c r="I80" s="6">
        <v>2</v>
      </c>
      <c r="J80">
        <f>COUNTIF(ButtonsJanApril,"Scratch &amp; D")</f>
        <v>0</v>
      </c>
      <c r="K80">
        <f>COUNTIF(ButtonsMayAug,"Scratch &amp; D")</f>
        <v>1</v>
      </c>
      <c r="L80">
        <f>COUNTIF(ButtonsSepDec,"Scratch &amp; D")</f>
        <v>1</v>
      </c>
      <c r="N80" s="26">
        <f t="shared" si="12"/>
        <v>2</v>
      </c>
      <c r="O80" s="26">
        <v>2</v>
      </c>
    </row>
    <row r="81" spans="2:18" x14ac:dyDescent="0.2">
      <c r="B81" s="31" t="s">
        <v>47</v>
      </c>
      <c r="C81" s="31"/>
      <c r="D81">
        <f>COUNTIF(B3:X6,"Sec Doors")</f>
        <v>1</v>
      </c>
      <c r="E81">
        <f>COUNTIF(B17:W20,"Sec Doors")</f>
        <v>1</v>
      </c>
      <c r="F81">
        <f>COUNTIF(B31:W34,"Sec Doors")</f>
        <v>0</v>
      </c>
      <c r="H81">
        <f t="shared" si="13"/>
        <v>2</v>
      </c>
      <c r="I81" s="6">
        <v>2</v>
      </c>
      <c r="J81">
        <f>COUNTIF(ButtonsJanApril,"Sec Doors")</f>
        <v>1</v>
      </c>
      <c r="K81">
        <f>COUNTIF(ButtonsMayAug,"Sec Doors")</f>
        <v>1</v>
      </c>
      <c r="L81">
        <f>COUNTIF(ButtonsSepDec,"Sec Doors")</f>
        <v>0</v>
      </c>
      <c r="N81" s="26">
        <f t="shared" si="12"/>
        <v>2</v>
      </c>
      <c r="O81" s="26">
        <v>2</v>
      </c>
    </row>
    <row r="82" spans="2:18" s="22" customFormat="1" x14ac:dyDescent="0.2">
      <c r="B82" s="31" t="s">
        <v>85</v>
      </c>
      <c r="C82" s="31"/>
      <c r="D82" s="22">
        <f>COUNTIF(B4:X7,"Legal")</f>
        <v>1</v>
      </c>
      <c r="E82" s="22">
        <f>COUNTIF(B17:W20,"Legal")</f>
        <v>1</v>
      </c>
      <c r="F82" s="22">
        <f>COUNTIF(B31:W34,"Legal")</f>
        <v>0</v>
      </c>
      <c r="H82" s="26">
        <f t="shared" si="13"/>
        <v>2</v>
      </c>
      <c r="I82" s="6">
        <v>2</v>
      </c>
      <c r="J82" s="22">
        <f>COUNTIF(ButtonsJanApril,"Legal")</f>
        <v>1</v>
      </c>
      <c r="K82" s="22">
        <f>COUNTIF(ButtonsMayAug,"Legal")</f>
        <v>1</v>
      </c>
      <c r="L82" s="22">
        <f>COUNTIF(ButtonsSepDec,"Legal")</f>
        <v>0</v>
      </c>
      <c r="N82" s="26">
        <f t="shared" si="12"/>
        <v>2</v>
      </c>
      <c r="O82" s="26">
        <v>2</v>
      </c>
      <c r="R82" s="23"/>
    </row>
    <row r="83" spans="2:18" x14ac:dyDescent="0.2">
      <c r="B83" s="31" t="s">
        <v>84</v>
      </c>
      <c r="C83" s="31"/>
      <c r="D83">
        <f>COUNTIF(B3:X6,"Beauty")</f>
        <v>1</v>
      </c>
      <c r="E83">
        <f>COUNTIF(B17:W20,"Beauty")</f>
        <v>1</v>
      </c>
      <c r="F83">
        <f>COUNTIF(B31:W34,"Beauty")</f>
        <v>0</v>
      </c>
      <c r="H83">
        <f t="shared" si="13"/>
        <v>2</v>
      </c>
      <c r="I83" s="6">
        <v>2</v>
      </c>
      <c r="J83">
        <f>COUNTIF(ButtonsJanApril,"Beauty")</f>
        <v>1</v>
      </c>
      <c r="K83">
        <f>COUNTIF(ButtonsMayAug,"Beauty")</f>
        <v>0</v>
      </c>
      <c r="L83">
        <f>COUNTIF(ButtonsSepDec,"Beauty")</f>
        <v>1</v>
      </c>
      <c r="N83" s="26">
        <f t="shared" si="12"/>
        <v>2</v>
      </c>
      <c r="O83" s="26">
        <v>2</v>
      </c>
    </row>
    <row r="84" spans="2:18" s="26" customFormat="1" x14ac:dyDescent="0.2">
      <c r="B84" s="36"/>
      <c r="C84" s="36"/>
      <c r="I84" s="6"/>
    </row>
    <row r="85" spans="2:18" x14ac:dyDescent="0.2">
      <c r="B85" s="35"/>
      <c r="C85" s="35"/>
    </row>
    <row r="86" spans="2:18" x14ac:dyDescent="0.2">
      <c r="B86" t="s">
        <v>48</v>
      </c>
      <c r="C86">
        <f>SUM(D86:F86)</f>
        <v>191</v>
      </c>
      <c r="D86">
        <f>SUM(D44:D85)</f>
        <v>72</v>
      </c>
      <c r="E86" s="26">
        <f t="shared" ref="E86:F86" si="14">SUM(E44:E85)</f>
        <v>64</v>
      </c>
      <c r="F86" s="26">
        <f t="shared" si="14"/>
        <v>55</v>
      </c>
      <c r="H86" s="26">
        <f>SUM(H44:H85)</f>
        <v>191</v>
      </c>
      <c r="I86">
        <f>SUM(I44:I85)</f>
        <v>190</v>
      </c>
      <c r="N86">
        <f>SUM(N44:N85)</f>
        <v>284</v>
      </c>
      <c r="O86">
        <f>SUM(O44:O83)</f>
        <v>284</v>
      </c>
    </row>
    <row r="87" spans="2:18" ht="17" thickBot="1" x14ac:dyDescent="0.25">
      <c r="H87">
        <v>9</v>
      </c>
      <c r="I87" t="s">
        <v>90</v>
      </c>
      <c r="O87">
        <v>16</v>
      </c>
      <c r="P87" t="s">
        <v>92</v>
      </c>
    </row>
    <row r="88" spans="2:18" ht="17" thickBot="1" x14ac:dyDescent="0.25">
      <c r="H88" s="38">
        <f>SUM(H86:H87)</f>
        <v>200</v>
      </c>
    </row>
  </sheetData>
  <mergeCells count="80">
    <mergeCell ref="T15:W15"/>
    <mergeCell ref="N15:R15"/>
    <mergeCell ref="Q43:V49"/>
    <mergeCell ref="B84:C84"/>
    <mergeCell ref="B85:C85"/>
    <mergeCell ref="B79:C79"/>
    <mergeCell ref="G3:G6"/>
    <mergeCell ref="M3:M6"/>
    <mergeCell ref="M17:M20"/>
    <mergeCell ref="G17:G20"/>
    <mergeCell ref="G31:G34"/>
    <mergeCell ref="M31:M34"/>
    <mergeCell ref="G8:G13"/>
    <mergeCell ref="M8:M13"/>
    <mergeCell ref="M22:M27"/>
    <mergeCell ref="G22:G27"/>
    <mergeCell ref="G36:G41"/>
    <mergeCell ref="M36:M41"/>
    <mergeCell ref="H29:L29"/>
    <mergeCell ref="B82:C82"/>
    <mergeCell ref="B83:C83"/>
    <mergeCell ref="B43:C43"/>
    <mergeCell ref="B75:C75"/>
    <mergeCell ref="B76:C76"/>
    <mergeCell ref="B77:C77"/>
    <mergeCell ref="B78:C78"/>
    <mergeCell ref="B80:C80"/>
    <mergeCell ref="B81:C81"/>
    <mergeCell ref="B69:C69"/>
    <mergeCell ref="B70:C70"/>
    <mergeCell ref="B71:C71"/>
    <mergeCell ref="B72:C72"/>
    <mergeCell ref="B73:C73"/>
    <mergeCell ref="B74:C74"/>
    <mergeCell ref="B63:C63"/>
    <mergeCell ref="B66:C66"/>
    <mergeCell ref="B67:C67"/>
    <mergeCell ref="B68:C68"/>
    <mergeCell ref="B57:C57"/>
    <mergeCell ref="B58:C58"/>
    <mergeCell ref="B59:C59"/>
    <mergeCell ref="B60:C60"/>
    <mergeCell ref="B61:C61"/>
    <mergeCell ref="B62:C62"/>
    <mergeCell ref="B52:C52"/>
    <mergeCell ref="B53:C53"/>
    <mergeCell ref="B54:C54"/>
    <mergeCell ref="B55:C55"/>
    <mergeCell ref="B65:C65"/>
    <mergeCell ref="B56:C56"/>
    <mergeCell ref="B64:C64"/>
    <mergeCell ref="N29:Q29"/>
    <mergeCell ref="N1:Q1"/>
    <mergeCell ref="B47:C47"/>
    <mergeCell ref="T29:W29"/>
    <mergeCell ref="S3:S6"/>
    <mergeCell ref="S17:S20"/>
    <mergeCell ref="S30:S33"/>
    <mergeCell ref="S8:S13"/>
    <mergeCell ref="S22:S27"/>
    <mergeCell ref="S36:S41"/>
    <mergeCell ref="T1:X1"/>
    <mergeCell ref="B29:E29"/>
    <mergeCell ref="B51:C51"/>
    <mergeCell ref="A36:A41"/>
    <mergeCell ref="H15:K15"/>
    <mergeCell ref="A17:A20"/>
    <mergeCell ref="A22:A27"/>
    <mergeCell ref="B50:C50"/>
    <mergeCell ref="B44:C44"/>
    <mergeCell ref="B45:C45"/>
    <mergeCell ref="B46:C46"/>
    <mergeCell ref="B48:C48"/>
    <mergeCell ref="B49:C49"/>
    <mergeCell ref="B15:E15"/>
    <mergeCell ref="A3:A6"/>
    <mergeCell ref="A8:A13"/>
    <mergeCell ref="B1:F1"/>
    <mergeCell ref="H1:K1"/>
    <mergeCell ref="A31:A34"/>
  </mergeCells>
  <conditionalFormatting sqref="I44:I46">
    <cfRule type="cellIs" dxfId="79" priority="83" operator="equal">
      <formula>$H$44</formula>
    </cfRule>
  </conditionalFormatting>
  <conditionalFormatting sqref="I46">
    <cfRule type="cellIs" dxfId="78" priority="82" operator="equal">
      <formula>$H$46</formula>
    </cfRule>
  </conditionalFormatting>
  <conditionalFormatting sqref="I47">
    <cfRule type="cellIs" dxfId="77" priority="80" operator="equal">
      <formula>$H$47</formula>
    </cfRule>
  </conditionalFormatting>
  <conditionalFormatting sqref="I48">
    <cfRule type="cellIs" dxfId="76" priority="77" operator="equal">
      <formula>$H$48</formula>
    </cfRule>
    <cfRule type="cellIs" dxfId="75" priority="79" operator="equal">
      <formula>$H$44</formula>
    </cfRule>
  </conditionalFormatting>
  <conditionalFormatting sqref="I48">
    <cfRule type="cellIs" dxfId="74" priority="78" operator="equal">
      <formula>$H$46</formula>
    </cfRule>
  </conditionalFormatting>
  <conditionalFormatting sqref="I49">
    <cfRule type="cellIs" dxfId="73" priority="76" operator="equal">
      <formula>$H$49</formula>
    </cfRule>
  </conditionalFormatting>
  <conditionalFormatting sqref="I50">
    <cfRule type="cellIs" dxfId="72" priority="75" operator="equal">
      <formula>$H$50</formula>
    </cfRule>
  </conditionalFormatting>
  <conditionalFormatting sqref="I51">
    <cfRule type="cellIs" dxfId="71" priority="74" operator="equal">
      <formula>$H$51</formula>
    </cfRule>
  </conditionalFormatting>
  <conditionalFormatting sqref="I52">
    <cfRule type="cellIs" dxfId="70" priority="73" operator="equal">
      <formula>$H$52</formula>
    </cfRule>
  </conditionalFormatting>
  <conditionalFormatting sqref="I53">
    <cfRule type="cellIs" dxfId="69" priority="72" operator="equal">
      <formula>$H$53</formula>
    </cfRule>
  </conditionalFormatting>
  <conditionalFormatting sqref="I54">
    <cfRule type="cellIs" dxfId="68" priority="71" operator="equal">
      <formula>$H$54</formula>
    </cfRule>
  </conditionalFormatting>
  <conditionalFormatting sqref="I55">
    <cfRule type="cellIs" dxfId="67" priority="70" operator="equal">
      <formula>$H$55</formula>
    </cfRule>
  </conditionalFormatting>
  <conditionalFormatting sqref="I56">
    <cfRule type="cellIs" dxfId="66" priority="69" operator="equal">
      <formula>$H$56</formula>
    </cfRule>
  </conditionalFormatting>
  <conditionalFormatting sqref="I57">
    <cfRule type="cellIs" dxfId="65" priority="68" operator="equal">
      <formula>$H$57</formula>
    </cfRule>
  </conditionalFormatting>
  <conditionalFormatting sqref="I58">
    <cfRule type="cellIs" dxfId="64" priority="67" operator="equal">
      <formula>$H$58</formula>
    </cfRule>
  </conditionalFormatting>
  <conditionalFormatting sqref="I59">
    <cfRule type="cellIs" dxfId="63" priority="66" operator="equal">
      <formula>$H$59</formula>
    </cfRule>
  </conditionalFormatting>
  <conditionalFormatting sqref="I60">
    <cfRule type="cellIs" dxfId="62" priority="65" operator="equal">
      <formula>$H$60</formula>
    </cfRule>
  </conditionalFormatting>
  <conditionalFormatting sqref="I61">
    <cfRule type="cellIs" dxfId="61" priority="64" operator="equal">
      <formula>$H$61</formula>
    </cfRule>
  </conditionalFormatting>
  <conditionalFormatting sqref="I62">
    <cfRule type="cellIs" dxfId="60" priority="63" operator="equal">
      <formula>$H$62</formula>
    </cfRule>
  </conditionalFormatting>
  <conditionalFormatting sqref="I63">
    <cfRule type="cellIs" dxfId="59" priority="62" operator="equal">
      <formula>$H$63</formula>
    </cfRule>
  </conditionalFormatting>
  <conditionalFormatting sqref="I64">
    <cfRule type="cellIs" dxfId="58" priority="61" operator="equal">
      <formula>$H$64</formula>
    </cfRule>
  </conditionalFormatting>
  <conditionalFormatting sqref="I65">
    <cfRule type="cellIs" dxfId="57" priority="60" operator="equal">
      <formula>$H$65</formula>
    </cfRule>
  </conditionalFormatting>
  <conditionalFormatting sqref="I66">
    <cfRule type="cellIs" dxfId="56" priority="59" operator="equal">
      <formula>$H$66</formula>
    </cfRule>
  </conditionalFormatting>
  <conditionalFormatting sqref="I67">
    <cfRule type="cellIs" dxfId="55" priority="58" operator="equal">
      <formula>$H$67</formula>
    </cfRule>
  </conditionalFormatting>
  <conditionalFormatting sqref="I68">
    <cfRule type="cellIs" dxfId="54" priority="57" operator="equal">
      <formula>$H$68</formula>
    </cfRule>
  </conditionalFormatting>
  <conditionalFormatting sqref="I69">
    <cfRule type="cellIs" dxfId="53" priority="56" operator="equal">
      <formula>$H$69</formula>
    </cfRule>
  </conditionalFormatting>
  <conditionalFormatting sqref="I70">
    <cfRule type="cellIs" dxfId="52" priority="55" operator="equal">
      <formula>$H$70</formula>
    </cfRule>
  </conditionalFormatting>
  <conditionalFormatting sqref="I71">
    <cfRule type="cellIs" dxfId="51" priority="54" operator="equal">
      <formula>$H$71</formula>
    </cfRule>
  </conditionalFormatting>
  <conditionalFormatting sqref="I72">
    <cfRule type="cellIs" dxfId="50" priority="53" operator="equal">
      <formula>$H$72</formula>
    </cfRule>
  </conditionalFormatting>
  <conditionalFormatting sqref="I73">
    <cfRule type="cellIs" dxfId="49" priority="52" operator="equal">
      <formula>$H$73</formula>
    </cfRule>
  </conditionalFormatting>
  <conditionalFormatting sqref="I74">
    <cfRule type="cellIs" dxfId="48" priority="51" operator="equal">
      <formula>$H$74</formula>
    </cfRule>
  </conditionalFormatting>
  <conditionalFormatting sqref="I75">
    <cfRule type="cellIs" dxfId="47" priority="50" operator="equal">
      <formula>$H$75</formula>
    </cfRule>
  </conditionalFormatting>
  <conditionalFormatting sqref="I76">
    <cfRule type="cellIs" dxfId="46" priority="49" operator="equal">
      <formula>$H$76</formula>
    </cfRule>
  </conditionalFormatting>
  <conditionalFormatting sqref="I77">
    <cfRule type="cellIs" dxfId="45" priority="48" operator="equal">
      <formula>$H$77</formula>
    </cfRule>
  </conditionalFormatting>
  <conditionalFormatting sqref="I78:I79">
    <cfRule type="cellIs" dxfId="44" priority="47" operator="equal">
      <formula>$H$78</formula>
    </cfRule>
  </conditionalFormatting>
  <conditionalFormatting sqref="I80">
    <cfRule type="cellIs" dxfId="43" priority="46" operator="equal">
      <formula>$H$80</formula>
    </cfRule>
  </conditionalFormatting>
  <conditionalFormatting sqref="I81">
    <cfRule type="cellIs" dxfId="42" priority="45" operator="equal">
      <formula>$H$81</formula>
    </cfRule>
  </conditionalFormatting>
  <conditionalFormatting sqref="I83:I84">
    <cfRule type="cellIs" dxfId="41" priority="44" operator="equal">
      <formula>$H$83</formula>
    </cfRule>
  </conditionalFormatting>
  <conditionalFormatting sqref="O44:O84">
    <cfRule type="cellIs" dxfId="40" priority="43" operator="equal">
      <formula>$N$44</formula>
    </cfRule>
  </conditionalFormatting>
  <conditionalFormatting sqref="O45:O84">
    <cfRule type="cellIs" dxfId="39" priority="42" operator="equal">
      <formula>$N$45</formula>
    </cfRule>
  </conditionalFormatting>
  <conditionalFormatting sqref="O46:O84">
    <cfRule type="cellIs" dxfId="38" priority="41" operator="equal">
      <formula>$N$46</formula>
    </cfRule>
  </conditionalFormatting>
  <conditionalFormatting sqref="O47:O84">
    <cfRule type="cellIs" dxfId="37" priority="40" operator="equal">
      <formula>$N$47</formula>
    </cfRule>
  </conditionalFormatting>
  <conditionalFormatting sqref="O48">
    <cfRule type="cellIs" dxfId="36" priority="39" operator="equal">
      <formula>$N$48</formula>
    </cfRule>
  </conditionalFormatting>
  <conditionalFormatting sqref="O49">
    <cfRule type="cellIs" dxfId="35" priority="38" operator="equal">
      <formula>$N$49</formula>
    </cfRule>
  </conditionalFormatting>
  <conditionalFormatting sqref="O50">
    <cfRule type="cellIs" dxfId="34" priority="37" operator="equal">
      <formula>$N$50</formula>
    </cfRule>
  </conditionalFormatting>
  <conditionalFormatting sqref="O51">
    <cfRule type="cellIs" dxfId="33" priority="36" operator="equal">
      <formula>$N$51</formula>
    </cfRule>
  </conditionalFormatting>
  <conditionalFormatting sqref="O52">
    <cfRule type="cellIs" dxfId="32" priority="35" operator="equal">
      <formula>$N$52</formula>
    </cfRule>
  </conditionalFormatting>
  <conditionalFormatting sqref="O53">
    <cfRule type="cellIs" dxfId="31" priority="34" operator="equal">
      <formula>$N$53</formula>
    </cfRule>
  </conditionalFormatting>
  <conditionalFormatting sqref="O54">
    <cfRule type="cellIs" dxfId="30" priority="33" operator="equal">
      <formula>$N$54</formula>
    </cfRule>
  </conditionalFormatting>
  <conditionalFormatting sqref="O55:O84">
    <cfRule type="cellIs" dxfId="29" priority="32" operator="equal">
      <formula>$N$55</formula>
    </cfRule>
  </conditionalFormatting>
  <conditionalFormatting sqref="O56">
    <cfRule type="cellIs" dxfId="28" priority="31" operator="equal">
      <formula>$N$56</formula>
    </cfRule>
  </conditionalFormatting>
  <conditionalFormatting sqref="O57">
    <cfRule type="cellIs" dxfId="27" priority="30" operator="equal">
      <formula>$N$57</formula>
    </cfRule>
  </conditionalFormatting>
  <conditionalFormatting sqref="O58">
    <cfRule type="cellIs" dxfId="26" priority="29" operator="equal">
      <formula>$N$58</formula>
    </cfRule>
  </conditionalFormatting>
  <conditionalFormatting sqref="O59">
    <cfRule type="cellIs" dxfId="25" priority="28" operator="equal">
      <formula>$N$59</formula>
    </cfRule>
  </conditionalFormatting>
  <conditionalFormatting sqref="O60">
    <cfRule type="cellIs" dxfId="24" priority="27" operator="equal">
      <formula>$N$60</formula>
    </cfRule>
  </conditionalFormatting>
  <conditionalFormatting sqref="O61">
    <cfRule type="cellIs" dxfId="23" priority="26" operator="equal">
      <formula>$N$61</formula>
    </cfRule>
  </conditionalFormatting>
  <conditionalFormatting sqref="O62">
    <cfRule type="cellIs" dxfId="22" priority="25" operator="equal">
      <formula>$N$62</formula>
    </cfRule>
  </conditionalFormatting>
  <conditionalFormatting sqref="O63">
    <cfRule type="cellIs" dxfId="21" priority="24" operator="equal">
      <formula>$N$63</formula>
    </cfRule>
  </conditionalFormatting>
  <conditionalFormatting sqref="O64">
    <cfRule type="cellIs" dxfId="20" priority="23" operator="equal">
      <formula>$N$64</formula>
    </cfRule>
  </conditionalFormatting>
  <conditionalFormatting sqref="O65">
    <cfRule type="cellIs" dxfId="19" priority="22" operator="equal">
      <formula>$N$65</formula>
    </cfRule>
  </conditionalFormatting>
  <conditionalFormatting sqref="O66">
    <cfRule type="cellIs" dxfId="18" priority="21" operator="equal">
      <formula>$N$66</formula>
    </cfRule>
  </conditionalFormatting>
  <conditionalFormatting sqref="O67">
    <cfRule type="cellIs" dxfId="17" priority="20" operator="equal">
      <formula>$N$67</formula>
    </cfRule>
  </conditionalFormatting>
  <conditionalFormatting sqref="O68">
    <cfRule type="cellIs" dxfId="16" priority="19" operator="equal">
      <formula>$N$68</formula>
    </cfRule>
  </conditionalFormatting>
  <conditionalFormatting sqref="O69">
    <cfRule type="cellIs" dxfId="15" priority="18" operator="equal">
      <formula>$N$69</formula>
    </cfRule>
  </conditionalFormatting>
  <conditionalFormatting sqref="O70">
    <cfRule type="cellIs" dxfId="14" priority="17" operator="equal">
      <formula>$N$70</formula>
    </cfRule>
  </conditionalFormatting>
  <conditionalFormatting sqref="O71">
    <cfRule type="cellIs" dxfId="13" priority="16" operator="equal">
      <formula>$N$71</formula>
    </cfRule>
  </conditionalFormatting>
  <conditionalFormatting sqref="O72">
    <cfRule type="cellIs" dxfId="12" priority="15" operator="equal">
      <formula>$N$72</formula>
    </cfRule>
  </conditionalFormatting>
  <conditionalFormatting sqref="O73">
    <cfRule type="cellIs" dxfId="11" priority="14" operator="equal">
      <formula>$N$73</formula>
    </cfRule>
  </conditionalFormatting>
  <conditionalFormatting sqref="O74">
    <cfRule type="cellIs" dxfId="10" priority="13" operator="equal">
      <formula>$N$74</formula>
    </cfRule>
  </conditionalFormatting>
  <conditionalFormatting sqref="O75">
    <cfRule type="cellIs" dxfId="9" priority="12" operator="equal">
      <formula>$N$75</formula>
    </cfRule>
  </conditionalFormatting>
  <conditionalFormatting sqref="O76">
    <cfRule type="cellIs" dxfId="8" priority="11" operator="equal">
      <formula>$N$76</formula>
    </cfRule>
  </conditionalFormatting>
  <conditionalFormatting sqref="O77">
    <cfRule type="cellIs" dxfId="7" priority="10" operator="equal">
      <formula>$N$77</formula>
    </cfRule>
  </conditionalFormatting>
  <conditionalFormatting sqref="O78:O80">
    <cfRule type="cellIs" dxfId="6" priority="9" operator="equal">
      <formula>$N$78</formula>
    </cfRule>
  </conditionalFormatting>
  <conditionalFormatting sqref="O80">
    <cfRule type="cellIs" dxfId="5" priority="8" operator="equal">
      <formula>$N$80</formula>
    </cfRule>
  </conditionalFormatting>
  <conditionalFormatting sqref="O81:O82">
    <cfRule type="cellIs" dxfId="4" priority="7" operator="equal">
      <formula>$N$81</formula>
    </cfRule>
  </conditionalFormatting>
  <conditionalFormatting sqref="O83:O84">
    <cfRule type="cellIs" dxfId="3" priority="6" operator="equal">
      <formula>$N$83</formula>
    </cfRule>
  </conditionalFormatting>
  <conditionalFormatting sqref="I45">
    <cfRule type="cellIs" dxfId="2" priority="5" operator="equal">
      <formula>$H$45</formula>
    </cfRule>
  </conditionalFormatting>
  <conditionalFormatting sqref="I82">
    <cfRule type="cellIs" dxfId="1" priority="2" operator="equal">
      <formula>$H$82</formula>
    </cfRule>
  </conditionalFormatting>
  <conditionalFormatting sqref="O44:O83">
    <cfRule type="cellIs" dxfId="0" priority="1" operator="equal">
      <formula>$N$44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1184C-1A17-DC45-BD7E-8A2CBBB96BC5}">
  <dimension ref="A1:Q43"/>
  <sheetViews>
    <sheetView workbookViewId="0">
      <selection activeCell="O1" sqref="O1"/>
    </sheetView>
  </sheetViews>
  <sheetFormatPr baseColWidth="10" defaultRowHeight="16" x14ac:dyDescent="0.2"/>
  <cols>
    <col min="1" max="1" width="25.1640625" style="27" bestFit="1" customWidth="1"/>
    <col min="2" max="12" width="10.83203125" style="26"/>
    <col min="13" max="13" width="1.6640625" style="26" customWidth="1"/>
    <col min="14" max="14" width="20.33203125" style="26" bestFit="1" customWidth="1"/>
    <col min="15" max="15" width="10.83203125" style="26"/>
    <col min="16" max="16" width="27" style="26" bestFit="1" customWidth="1"/>
    <col min="17" max="16384" width="10.83203125" style="26"/>
  </cols>
  <sheetData>
    <row r="1" spans="1:16" ht="34" x14ac:dyDescent="0.2">
      <c r="B1" s="13" t="s">
        <v>71</v>
      </c>
    </row>
    <row r="2" spans="1:16" x14ac:dyDescent="0.2">
      <c r="A2" s="27" t="s">
        <v>7</v>
      </c>
      <c r="B2" s="12">
        <f>'2024 Calendar'!I44</f>
        <v>24</v>
      </c>
      <c r="C2" s="35" t="s">
        <v>86</v>
      </c>
      <c r="D2" s="35"/>
      <c r="E2" s="35"/>
      <c r="F2" s="35"/>
      <c r="G2" s="35"/>
      <c r="H2" s="35"/>
      <c r="I2" s="35"/>
      <c r="J2" s="35"/>
      <c r="K2" s="35"/>
      <c r="L2" s="35"/>
      <c r="O2" s="1"/>
    </row>
    <row r="3" spans="1:16" x14ac:dyDescent="0.2">
      <c r="A3" s="27" t="s">
        <v>8</v>
      </c>
      <c r="B3" s="12">
        <f>'2024 Calendar'!I45</f>
        <v>24</v>
      </c>
      <c r="C3" s="35" t="s">
        <v>87</v>
      </c>
      <c r="D3" s="35"/>
      <c r="E3" s="35"/>
      <c r="F3" s="35"/>
      <c r="G3" s="35"/>
      <c r="H3" s="35"/>
      <c r="I3" s="35"/>
      <c r="J3" s="35"/>
      <c r="K3" s="35"/>
      <c r="L3" s="35"/>
      <c r="N3" s="26" t="s">
        <v>88</v>
      </c>
      <c r="O3" s="1"/>
    </row>
    <row r="4" spans="1:16" x14ac:dyDescent="0.2">
      <c r="A4" s="27" t="s">
        <v>6</v>
      </c>
      <c r="B4" s="12">
        <f>'2024 Calendar'!I46</f>
        <v>10</v>
      </c>
      <c r="C4" s="1">
        <v>45293</v>
      </c>
      <c r="D4" s="1">
        <v>45328</v>
      </c>
      <c r="E4" s="1">
        <v>45356</v>
      </c>
      <c r="F4" s="1">
        <v>45384</v>
      </c>
      <c r="G4" s="1">
        <v>45412</v>
      </c>
      <c r="H4" s="1">
        <v>45447</v>
      </c>
      <c r="I4" s="1">
        <v>45475</v>
      </c>
      <c r="J4" s="1">
        <v>45503</v>
      </c>
      <c r="K4" s="1">
        <v>45538</v>
      </c>
      <c r="L4" s="1">
        <v>45602</v>
      </c>
      <c r="N4" s="26">
        <f>COUNTA(C4:L4)</f>
        <v>10</v>
      </c>
      <c r="O4" s="1"/>
    </row>
    <row r="5" spans="1:16" x14ac:dyDescent="0.2">
      <c r="A5" s="27" t="s">
        <v>18</v>
      </c>
      <c r="B5" s="12">
        <f>'2024 Calendar'!I47</f>
        <v>10</v>
      </c>
      <c r="C5" s="1">
        <v>45335</v>
      </c>
      <c r="D5" s="1">
        <v>45370</v>
      </c>
      <c r="E5" s="1">
        <v>45405</v>
      </c>
      <c r="F5" s="1">
        <v>45433</v>
      </c>
      <c r="G5" s="1">
        <v>45461</v>
      </c>
      <c r="H5" s="1">
        <v>45489</v>
      </c>
      <c r="I5" s="1">
        <v>45524</v>
      </c>
      <c r="J5" s="1">
        <v>45559</v>
      </c>
      <c r="K5" s="1">
        <v>45580</v>
      </c>
      <c r="L5" s="1">
        <v>45615</v>
      </c>
      <c r="M5" s="26">
        <f>COUNTA(C4:L4)</f>
        <v>10</v>
      </c>
      <c r="N5" s="26">
        <f t="shared" ref="N5:N41" si="0">COUNTA(C5:L5)</f>
        <v>10</v>
      </c>
      <c r="O5" s="16"/>
    </row>
    <row r="6" spans="1:16" x14ac:dyDescent="0.2">
      <c r="A6" s="27" t="s">
        <v>19</v>
      </c>
      <c r="B6" s="12">
        <f>'2024 Calendar'!I48</f>
        <v>8</v>
      </c>
      <c r="C6" s="1">
        <v>45300</v>
      </c>
      <c r="D6" s="1">
        <v>45370</v>
      </c>
      <c r="E6" s="1">
        <v>45426</v>
      </c>
      <c r="F6" s="1">
        <v>45461</v>
      </c>
      <c r="G6" s="1">
        <v>45517</v>
      </c>
      <c r="H6" s="1">
        <v>45552</v>
      </c>
      <c r="I6" s="1">
        <v>45580</v>
      </c>
      <c r="J6" s="1">
        <v>45615</v>
      </c>
      <c r="M6" s="26">
        <f>COUNTA(C5:L5)</f>
        <v>10</v>
      </c>
      <c r="N6" s="26">
        <f t="shared" si="0"/>
        <v>8</v>
      </c>
      <c r="O6" s="1"/>
    </row>
    <row r="7" spans="1:16" x14ac:dyDescent="0.2">
      <c r="A7" s="27" t="s">
        <v>9</v>
      </c>
      <c r="B7" s="12">
        <f>'2024 Calendar'!I49</f>
        <v>4</v>
      </c>
      <c r="C7" s="1">
        <v>45300</v>
      </c>
      <c r="D7" s="1">
        <v>45461</v>
      </c>
      <c r="E7" s="1">
        <v>45538</v>
      </c>
      <c r="F7" s="1">
        <v>45566</v>
      </c>
      <c r="G7" s="16"/>
      <c r="M7" s="26">
        <f>COUNTA(C6:L6)</f>
        <v>8</v>
      </c>
      <c r="N7" s="26">
        <f t="shared" si="0"/>
        <v>4</v>
      </c>
      <c r="O7" s="16"/>
    </row>
    <row r="8" spans="1:16" x14ac:dyDescent="0.2">
      <c r="A8" s="27" t="s">
        <v>49</v>
      </c>
      <c r="B8" s="12">
        <f>'2024 Calendar'!I50</f>
        <v>4</v>
      </c>
      <c r="C8" s="1">
        <v>45328</v>
      </c>
      <c r="D8" s="1">
        <v>45377</v>
      </c>
      <c r="E8" s="1">
        <v>45081</v>
      </c>
      <c r="F8" s="1">
        <v>45151</v>
      </c>
      <c r="M8" s="26">
        <f>COUNTA(C7:L7)</f>
        <v>4</v>
      </c>
      <c r="N8" s="26">
        <f t="shared" si="0"/>
        <v>4</v>
      </c>
      <c r="O8" s="16"/>
    </row>
    <row r="9" spans="1:16" x14ac:dyDescent="0.2">
      <c r="A9" s="27" t="s">
        <v>20</v>
      </c>
      <c r="B9" s="12">
        <f>'2024 Calendar'!I51</f>
        <v>6</v>
      </c>
      <c r="C9" s="1">
        <v>45321</v>
      </c>
      <c r="D9" s="1">
        <v>45391</v>
      </c>
      <c r="E9" s="1">
        <v>45454</v>
      </c>
      <c r="F9" s="1">
        <v>45545</v>
      </c>
      <c r="G9" s="1">
        <v>45587</v>
      </c>
      <c r="H9" s="1">
        <v>45622</v>
      </c>
      <c r="M9" s="26">
        <f>COUNTA(C8:L8)</f>
        <v>4</v>
      </c>
      <c r="N9" s="26">
        <f t="shared" si="0"/>
        <v>6</v>
      </c>
      <c r="O9" s="16"/>
    </row>
    <row r="10" spans="1:16" x14ac:dyDescent="0.2">
      <c r="A10" s="27" t="s">
        <v>21</v>
      </c>
      <c r="B10" s="12">
        <f>'2024 Calendar'!I52</f>
        <v>6</v>
      </c>
      <c r="C10" s="1">
        <v>45342</v>
      </c>
      <c r="D10" s="1">
        <v>45356</v>
      </c>
      <c r="E10" s="1">
        <v>45440</v>
      </c>
      <c r="F10" s="1">
        <v>45531</v>
      </c>
      <c r="G10" s="1">
        <v>45566</v>
      </c>
      <c r="H10" s="1">
        <v>45629</v>
      </c>
      <c r="M10" s="26">
        <f>COUNTA(C9:L9)</f>
        <v>6</v>
      </c>
      <c r="N10" s="26">
        <f t="shared" si="0"/>
        <v>6</v>
      </c>
      <c r="O10" s="1"/>
    </row>
    <row r="11" spans="1:16" x14ac:dyDescent="0.2">
      <c r="A11" s="27" t="s">
        <v>22</v>
      </c>
      <c r="B11" s="12">
        <f>'2024 Calendar'!I53</f>
        <v>6</v>
      </c>
      <c r="C11" s="1">
        <v>45321</v>
      </c>
      <c r="D11" s="1">
        <v>45363</v>
      </c>
      <c r="E11" s="1">
        <v>45426</v>
      </c>
      <c r="F11" s="1">
        <v>45496</v>
      </c>
      <c r="G11" s="1">
        <v>45559</v>
      </c>
      <c r="H11" s="1">
        <v>45608</v>
      </c>
      <c r="M11" s="26">
        <f>COUNTA(C10:L10)</f>
        <v>6</v>
      </c>
      <c r="N11" s="26">
        <f t="shared" si="0"/>
        <v>6</v>
      </c>
      <c r="O11" s="16"/>
    </row>
    <row r="12" spans="1:16" x14ac:dyDescent="0.2">
      <c r="A12" s="27" t="s">
        <v>23</v>
      </c>
      <c r="B12" s="12">
        <f>'2024 Calendar'!I54</f>
        <v>6</v>
      </c>
      <c r="C12" s="1">
        <v>45293</v>
      </c>
      <c r="D12" s="1">
        <v>45307</v>
      </c>
      <c r="E12" s="1">
        <v>45328</v>
      </c>
      <c r="F12" s="1">
        <v>45566</v>
      </c>
      <c r="G12" s="1">
        <v>45602</v>
      </c>
      <c r="H12" s="1">
        <v>45629</v>
      </c>
      <c r="I12" s="1"/>
      <c r="J12" s="1"/>
      <c r="K12" s="1"/>
      <c r="L12" s="1"/>
      <c r="M12" s="26">
        <f>COUNTA(C11:L11)</f>
        <v>6</v>
      </c>
      <c r="N12" s="26">
        <f t="shared" si="0"/>
        <v>6</v>
      </c>
      <c r="O12" s="16"/>
    </row>
    <row r="13" spans="1:16" x14ac:dyDescent="0.2">
      <c r="A13" s="27" t="s">
        <v>24</v>
      </c>
      <c r="B13" s="12">
        <f>'2024 Calendar'!I55</f>
        <v>6</v>
      </c>
      <c r="C13" s="1">
        <v>45307</v>
      </c>
      <c r="D13" s="1">
        <v>45363</v>
      </c>
      <c r="E13" s="1">
        <v>45419</v>
      </c>
      <c r="F13" s="1">
        <v>45482</v>
      </c>
      <c r="G13" s="1">
        <v>45552</v>
      </c>
      <c r="H13" s="1">
        <v>45608</v>
      </c>
      <c r="M13" s="26">
        <f>COUNTA(C12:L12)</f>
        <v>6</v>
      </c>
      <c r="N13" s="26">
        <f>COUNTA(C13:L13)</f>
        <v>6</v>
      </c>
      <c r="O13" s="16"/>
    </row>
    <row r="14" spans="1:16" x14ac:dyDescent="0.2">
      <c r="A14" s="27" t="s">
        <v>25</v>
      </c>
      <c r="B14" s="12">
        <f>'2024 Calendar'!I56</f>
        <v>4</v>
      </c>
      <c r="C14" s="1">
        <v>45349</v>
      </c>
      <c r="D14" s="1">
        <v>45377</v>
      </c>
      <c r="E14" s="1">
        <v>45039</v>
      </c>
      <c r="F14" s="1">
        <v>45440</v>
      </c>
      <c r="M14" s="26">
        <f>COUNTA(C13:L13)</f>
        <v>6</v>
      </c>
      <c r="N14" s="26">
        <f t="shared" si="0"/>
        <v>4</v>
      </c>
      <c r="O14" s="16"/>
    </row>
    <row r="15" spans="1:16" x14ac:dyDescent="0.2">
      <c r="A15" s="27" t="s">
        <v>26</v>
      </c>
      <c r="B15" s="12">
        <f>'2024 Calendar'!I57</f>
        <v>4</v>
      </c>
      <c r="C15" s="1">
        <v>45314</v>
      </c>
      <c r="D15" s="1">
        <v>45363</v>
      </c>
      <c r="E15" s="1">
        <v>45468</v>
      </c>
      <c r="F15" s="1">
        <v>45496</v>
      </c>
      <c r="M15" s="26">
        <f>COUNTA(C14:L14)</f>
        <v>4</v>
      </c>
      <c r="N15" s="26">
        <f t="shared" si="0"/>
        <v>4</v>
      </c>
      <c r="O15" s="1"/>
    </row>
    <row r="16" spans="1:16" x14ac:dyDescent="0.2">
      <c r="A16" s="27" t="s">
        <v>27</v>
      </c>
      <c r="B16" s="12">
        <f>'2024 Calendar'!I58</f>
        <v>4</v>
      </c>
      <c r="C16" s="1">
        <v>45342</v>
      </c>
      <c r="D16" s="1">
        <v>45419</v>
      </c>
      <c r="E16" s="1">
        <v>45489</v>
      </c>
      <c r="F16" s="1">
        <v>45573</v>
      </c>
      <c r="M16" s="26">
        <f>COUNTA(C15:L15)</f>
        <v>4</v>
      </c>
      <c r="N16" s="26">
        <f t="shared" si="0"/>
        <v>4</v>
      </c>
      <c r="O16" s="1"/>
      <c r="P16" s="18"/>
    </row>
    <row r="17" spans="1:15" x14ac:dyDescent="0.2">
      <c r="A17" s="27" t="s">
        <v>28</v>
      </c>
      <c r="B17" s="12">
        <f>'2024 Calendar'!I59</f>
        <v>4</v>
      </c>
      <c r="C17" s="1">
        <v>45335</v>
      </c>
      <c r="D17" s="1">
        <v>45468</v>
      </c>
      <c r="E17" s="1">
        <v>45538</v>
      </c>
      <c r="F17" s="1">
        <v>45636</v>
      </c>
      <c r="M17" s="26">
        <f>COUNTA(C16:L16)</f>
        <v>4</v>
      </c>
      <c r="N17" s="26">
        <f t="shared" si="0"/>
        <v>4</v>
      </c>
      <c r="O17" s="1"/>
    </row>
    <row r="18" spans="1:15" x14ac:dyDescent="0.2">
      <c r="A18" s="27" t="s">
        <v>57</v>
      </c>
      <c r="B18" s="12">
        <f>'2024 Calendar'!I60</f>
        <v>4</v>
      </c>
      <c r="C18" s="1">
        <v>45370</v>
      </c>
      <c r="D18" s="1">
        <v>45433</v>
      </c>
      <c r="E18" s="1">
        <v>45531</v>
      </c>
      <c r="F18" s="1">
        <v>45587</v>
      </c>
      <c r="M18" s="26">
        <f>COUNTA(C17:L17)</f>
        <v>4</v>
      </c>
      <c r="N18" s="26">
        <f t="shared" si="0"/>
        <v>4</v>
      </c>
      <c r="O18" s="1"/>
    </row>
    <row r="19" spans="1:15" x14ac:dyDescent="0.2">
      <c r="A19" s="27" t="s">
        <v>29</v>
      </c>
      <c r="B19" s="12">
        <f>'2024 Calendar'!I61</f>
        <v>4</v>
      </c>
      <c r="C19" s="1">
        <v>45349</v>
      </c>
      <c r="D19" s="1">
        <v>45426</v>
      </c>
      <c r="E19" s="1">
        <v>45510</v>
      </c>
      <c r="F19" s="1">
        <v>45594</v>
      </c>
      <c r="M19" s="26">
        <f>COUNTA(C18:L18)</f>
        <v>4</v>
      </c>
      <c r="N19" s="26">
        <f t="shared" si="0"/>
        <v>4</v>
      </c>
      <c r="O19" s="1"/>
    </row>
    <row r="20" spans="1:15" x14ac:dyDescent="0.2">
      <c r="A20" s="27" t="s">
        <v>30</v>
      </c>
      <c r="B20" s="12">
        <f>'2024 Calendar'!I62</f>
        <v>4</v>
      </c>
      <c r="C20" s="1">
        <v>45321</v>
      </c>
      <c r="D20" s="1">
        <v>45377</v>
      </c>
      <c r="E20" s="1">
        <v>45475</v>
      </c>
      <c r="F20" s="1">
        <v>45228</v>
      </c>
      <c r="M20" s="26">
        <f>COUNTA(C19:L19)</f>
        <v>4</v>
      </c>
      <c r="N20" s="26">
        <f t="shared" si="0"/>
        <v>4</v>
      </c>
      <c r="O20" s="1"/>
    </row>
    <row r="21" spans="1:15" x14ac:dyDescent="0.2">
      <c r="A21" s="27" t="s">
        <v>31</v>
      </c>
      <c r="B21" s="12">
        <f>'2024 Calendar'!I63</f>
        <v>4</v>
      </c>
      <c r="C21" s="1">
        <v>45335</v>
      </c>
      <c r="D21" s="1">
        <v>45419</v>
      </c>
      <c r="E21" s="1">
        <v>45510</v>
      </c>
      <c r="F21" s="1">
        <v>45545</v>
      </c>
      <c r="M21" s="26">
        <f>COUNTA(C20:L20)</f>
        <v>4</v>
      </c>
      <c r="N21" s="26">
        <f t="shared" si="0"/>
        <v>4</v>
      </c>
      <c r="O21" s="1"/>
    </row>
    <row r="22" spans="1:15" x14ac:dyDescent="0.2">
      <c r="A22" s="27" t="s">
        <v>32</v>
      </c>
      <c r="B22" s="12">
        <f>'2024 Calendar'!I64</f>
        <v>4</v>
      </c>
      <c r="C22" s="1">
        <v>45384</v>
      </c>
      <c r="D22" s="1">
        <v>45454</v>
      </c>
      <c r="E22" s="1">
        <v>45503</v>
      </c>
      <c r="F22" s="1">
        <v>45573</v>
      </c>
      <c r="M22" s="26">
        <f>COUNTA(C21:L21)</f>
        <v>4</v>
      </c>
      <c r="N22" s="26">
        <f t="shared" si="0"/>
        <v>4</v>
      </c>
      <c r="O22" s="1"/>
    </row>
    <row r="23" spans="1:15" x14ac:dyDescent="0.2">
      <c r="A23" s="27" t="s">
        <v>33</v>
      </c>
      <c r="B23" s="12">
        <f>'2024 Calendar'!I65</f>
        <v>4</v>
      </c>
      <c r="C23" s="1">
        <v>45314</v>
      </c>
      <c r="D23" s="1">
        <v>45412</v>
      </c>
      <c r="E23" s="1">
        <v>45503</v>
      </c>
      <c r="F23" s="1">
        <v>45594</v>
      </c>
      <c r="M23" s="26">
        <f>COUNTA(C22:L22)</f>
        <v>4</v>
      </c>
      <c r="N23" s="26">
        <f t="shared" si="0"/>
        <v>4</v>
      </c>
      <c r="O23" s="1"/>
    </row>
    <row r="24" spans="1:15" x14ac:dyDescent="0.2">
      <c r="A24" s="27" t="s">
        <v>34</v>
      </c>
      <c r="B24" s="12">
        <f>'2024 Calendar'!I66</f>
        <v>2</v>
      </c>
      <c r="C24" s="1">
        <v>45342</v>
      </c>
      <c r="D24" s="1">
        <v>45622</v>
      </c>
      <c r="M24" s="26">
        <f>COUNTA(C23:L23)</f>
        <v>4</v>
      </c>
      <c r="N24" s="26">
        <f t="shared" si="0"/>
        <v>2</v>
      </c>
      <c r="O24" s="1"/>
    </row>
    <row r="25" spans="1:15" x14ac:dyDescent="0.2">
      <c r="A25" s="27" t="s">
        <v>35</v>
      </c>
      <c r="B25" s="12">
        <f>'2024 Calendar'!I67</f>
        <v>2</v>
      </c>
      <c r="C25" s="1">
        <v>45398</v>
      </c>
      <c r="D25" s="1">
        <v>45602</v>
      </c>
      <c r="M25" s="26">
        <f>COUNTA(C24:L24)</f>
        <v>2</v>
      </c>
      <c r="N25" s="26">
        <f t="shared" si="0"/>
        <v>2</v>
      </c>
      <c r="O25" s="1"/>
    </row>
    <row r="26" spans="1:15" ht="16" customHeight="1" x14ac:dyDescent="0.2">
      <c r="A26" s="27" t="s">
        <v>80</v>
      </c>
      <c r="B26" s="12">
        <f>'2024 Calendar'!I68</f>
        <v>2</v>
      </c>
      <c r="C26" s="1">
        <v>45552</v>
      </c>
      <c r="D26" s="1">
        <v>45608</v>
      </c>
      <c r="M26" s="26">
        <f>COUNTA(C25:L25)</f>
        <v>2</v>
      </c>
      <c r="N26" s="26">
        <f t="shared" si="0"/>
        <v>2</v>
      </c>
      <c r="O26" s="1"/>
    </row>
    <row r="27" spans="1:15" x14ac:dyDescent="0.2">
      <c r="A27" s="27" t="s">
        <v>36</v>
      </c>
      <c r="B27" s="12">
        <f>'2024 Calendar'!I69</f>
        <v>2</v>
      </c>
      <c r="C27" s="1">
        <v>45398</v>
      </c>
      <c r="D27" s="1">
        <v>45580</v>
      </c>
      <c r="M27" s="26">
        <f>COUNTA(C26:L26)</f>
        <v>2</v>
      </c>
      <c r="N27" s="26">
        <f t="shared" si="0"/>
        <v>2</v>
      </c>
      <c r="O27" s="1"/>
    </row>
    <row r="28" spans="1:15" x14ac:dyDescent="0.2">
      <c r="A28" s="27" t="s">
        <v>37</v>
      </c>
      <c r="B28" s="12">
        <f>'2024 Calendar'!I70</f>
        <v>2</v>
      </c>
      <c r="C28" s="1">
        <v>45300</v>
      </c>
      <c r="D28" s="1">
        <v>45531</v>
      </c>
      <c r="M28" s="26">
        <f>COUNTA(C27:L27)</f>
        <v>2</v>
      </c>
      <c r="N28" s="26">
        <f t="shared" si="0"/>
        <v>2</v>
      </c>
      <c r="O28" s="16"/>
    </row>
    <row r="29" spans="1:15" x14ac:dyDescent="0.2">
      <c r="A29" s="27" t="s">
        <v>38</v>
      </c>
      <c r="B29" s="12">
        <f>'2024 Calendar'!I71</f>
        <v>2</v>
      </c>
      <c r="C29" s="1">
        <v>45314</v>
      </c>
      <c r="D29" s="1">
        <v>45475</v>
      </c>
      <c r="M29" s="26">
        <f>COUNTA(C28:L28)</f>
        <v>2</v>
      </c>
      <c r="N29" s="26">
        <f t="shared" si="0"/>
        <v>2</v>
      </c>
      <c r="O29" s="16"/>
    </row>
    <row r="30" spans="1:15" x14ac:dyDescent="0.2">
      <c r="A30" s="27" t="s">
        <v>39</v>
      </c>
      <c r="B30" s="12">
        <f>'2024 Calendar'!I72</f>
        <v>2</v>
      </c>
      <c r="C30" s="1">
        <v>45300</v>
      </c>
      <c r="D30" s="1">
        <v>45587</v>
      </c>
      <c r="M30" s="26">
        <f>COUNTA(C29:L29)</f>
        <v>2</v>
      </c>
      <c r="N30" s="26">
        <f t="shared" si="0"/>
        <v>2</v>
      </c>
      <c r="O30" s="16"/>
    </row>
    <row r="31" spans="1:15" x14ac:dyDescent="0.2">
      <c r="A31" s="27" t="s">
        <v>40</v>
      </c>
      <c r="B31" s="12">
        <f>'2024 Calendar'!I73</f>
        <v>2</v>
      </c>
      <c r="C31" s="1">
        <v>45440</v>
      </c>
      <c r="D31" s="1">
        <v>45622</v>
      </c>
      <c r="M31" s="26">
        <f>COUNTA(C30:L30)</f>
        <v>2</v>
      </c>
      <c r="N31" s="26">
        <f t="shared" si="0"/>
        <v>2</v>
      </c>
      <c r="O31" s="1"/>
    </row>
    <row r="32" spans="1:15" x14ac:dyDescent="0.2">
      <c r="A32" s="27" t="s">
        <v>41</v>
      </c>
      <c r="B32" s="12">
        <f>'2024 Calendar'!I74</f>
        <v>2</v>
      </c>
      <c r="C32" s="1">
        <v>45433</v>
      </c>
      <c r="D32" s="1">
        <v>45559</v>
      </c>
      <c r="M32" s="26">
        <f>COUNTA(C31:L31)</f>
        <v>2</v>
      </c>
      <c r="N32" s="26">
        <f t="shared" si="0"/>
        <v>2</v>
      </c>
      <c r="O32" s="1"/>
    </row>
    <row r="33" spans="1:17" x14ac:dyDescent="0.2">
      <c r="A33" s="27" t="s">
        <v>42</v>
      </c>
      <c r="B33" s="12">
        <f>'2024 Calendar'!I75</f>
        <v>2</v>
      </c>
      <c r="C33" s="1">
        <v>45384</v>
      </c>
      <c r="D33" s="1">
        <v>45531</v>
      </c>
      <c r="M33" s="26">
        <f>COUNTA(C32:L32)</f>
        <v>2</v>
      </c>
      <c r="N33" s="26">
        <f t="shared" si="0"/>
        <v>2</v>
      </c>
      <c r="O33" s="1"/>
      <c r="P33" s="19"/>
    </row>
    <row r="34" spans="1:17" x14ac:dyDescent="0.2">
      <c r="A34" s="27" t="s">
        <v>43</v>
      </c>
      <c r="B34" s="12">
        <f>'2024 Calendar'!I76</f>
        <v>2</v>
      </c>
      <c r="C34" s="1">
        <v>45468</v>
      </c>
      <c r="D34" s="1">
        <v>45573</v>
      </c>
      <c r="M34" s="26">
        <f>COUNTA(C33:L33)</f>
        <v>2</v>
      </c>
      <c r="N34" s="26">
        <f t="shared" si="0"/>
        <v>2</v>
      </c>
      <c r="O34" s="1"/>
    </row>
    <row r="35" spans="1:17" x14ac:dyDescent="0.2">
      <c r="A35" s="27" t="s">
        <v>44</v>
      </c>
      <c r="B35" s="12">
        <f>'2024 Calendar'!I77</f>
        <v>2</v>
      </c>
      <c r="C35" s="25">
        <v>41738</v>
      </c>
      <c r="D35" s="25">
        <v>45524</v>
      </c>
      <c r="M35" s="26">
        <f>COUNTA(C34:L34)</f>
        <v>2</v>
      </c>
      <c r="N35" s="26">
        <f t="shared" si="0"/>
        <v>2</v>
      </c>
      <c r="O35" s="16"/>
    </row>
    <row r="36" spans="1:17" x14ac:dyDescent="0.2">
      <c r="A36" s="27" t="s">
        <v>82</v>
      </c>
      <c r="B36" s="12">
        <f>'2024 Calendar'!I78</f>
        <v>2</v>
      </c>
      <c r="C36" s="25">
        <v>45356</v>
      </c>
      <c r="D36" s="25">
        <v>45510</v>
      </c>
      <c r="M36" s="26">
        <f>COUNTA(C35:L35)</f>
        <v>2</v>
      </c>
      <c r="N36" s="26">
        <f t="shared" si="0"/>
        <v>2</v>
      </c>
      <c r="O36" s="16"/>
    </row>
    <row r="37" spans="1:17" x14ac:dyDescent="0.2">
      <c r="A37" s="27" t="s">
        <v>81</v>
      </c>
      <c r="B37" s="12">
        <f>'2024 Calendar'!I79</f>
        <v>2</v>
      </c>
      <c r="C37" s="1">
        <v>45405</v>
      </c>
      <c r="D37" s="1">
        <v>45517</v>
      </c>
      <c r="M37" s="26">
        <f>COUNTA(C36:L36)</f>
        <v>2</v>
      </c>
      <c r="N37" s="26">
        <f t="shared" si="0"/>
        <v>2</v>
      </c>
      <c r="O37" s="1"/>
    </row>
    <row r="38" spans="1:17" x14ac:dyDescent="0.2">
      <c r="A38" s="27" t="s">
        <v>45</v>
      </c>
      <c r="B38" s="12">
        <f>'2024 Calendar'!I80</f>
        <v>2</v>
      </c>
      <c r="C38" s="1">
        <v>45349</v>
      </c>
      <c r="D38" s="1">
        <v>45524</v>
      </c>
      <c r="M38" s="26">
        <f>COUNTA(C37:L37)</f>
        <v>2</v>
      </c>
      <c r="N38" s="26">
        <f t="shared" si="0"/>
        <v>2</v>
      </c>
    </row>
    <row r="39" spans="1:17" x14ac:dyDescent="0.2">
      <c r="A39" s="27" t="s">
        <v>47</v>
      </c>
      <c r="B39" s="12">
        <f>'2024 Calendar'!I81</f>
        <v>2</v>
      </c>
      <c r="C39" s="1">
        <v>45391</v>
      </c>
      <c r="D39" s="1">
        <v>45482</v>
      </c>
      <c r="M39" s="26">
        <f>COUNTA(C38:L38)</f>
        <v>2</v>
      </c>
      <c r="N39" s="26">
        <f t="shared" si="0"/>
        <v>2</v>
      </c>
      <c r="O39" s="1"/>
    </row>
    <row r="40" spans="1:17" x14ac:dyDescent="0.2">
      <c r="A40" s="27" t="s">
        <v>85</v>
      </c>
      <c r="B40" s="12">
        <f>'2024 Calendar'!I82</f>
        <v>2</v>
      </c>
      <c r="C40" s="1">
        <v>45412</v>
      </c>
      <c r="D40" s="1">
        <v>45482</v>
      </c>
      <c r="M40" s="26">
        <f>COUNTA(C39:L39)</f>
        <v>2</v>
      </c>
      <c r="N40" s="26">
        <f t="shared" si="0"/>
        <v>2</v>
      </c>
      <c r="O40" s="16"/>
      <c r="P40" s="20"/>
    </row>
    <row r="41" spans="1:17" x14ac:dyDescent="0.2">
      <c r="A41" s="27" t="s">
        <v>84</v>
      </c>
      <c r="B41" s="12">
        <f>'2024 Calendar'!I83</f>
        <v>2</v>
      </c>
      <c r="C41" s="1">
        <v>45398</v>
      </c>
      <c r="D41" s="1">
        <v>45398</v>
      </c>
      <c r="M41" s="26">
        <f>COUNTA(C40:L40)</f>
        <v>2</v>
      </c>
      <c r="N41" s="26">
        <f t="shared" si="0"/>
        <v>2</v>
      </c>
      <c r="P41" s="20"/>
      <c r="Q41" s="20"/>
    </row>
    <row r="42" spans="1:17" x14ac:dyDescent="0.2">
      <c r="M42" s="26">
        <f>COUNTA(C41:L41)</f>
        <v>2</v>
      </c>
    </row>
    <row r="43" spans="1:17" x14ac:dyDescent="0.2">
      <c r="N43" s="26">
        <f>SUM(N4:N42)</f>
        <v>142</v>
      </c>
    </row>
  </sheetData>
  <mergeCells count="2">
    <mergeCell ref="C2:L2"/>
    <mergeCell ref="C3:L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22F49-D07B-A24C-AF95-2A0B1C5D6D73}">
  <dimension ref="A2:M11"/>
  <sheetViews>
    <sheetView workbookViewId="0">
      <selection activeCell="I15" sqref="I15"/>
    </sheetView>
  </sheetViews>
  <sheetFormatPr baseColWidth="10" defaultRowHeight="16" x14ac:dyDescent="0.2"/>
  <cols>
    <col min="1" max="1" width="25.1640625" bestFit="1" customWidth="1"/>
    <col min="2" max="2" width="9" customWidth="1"/>
    <col min="12" max="12" width="1.83203125" customWidth="1"/>
  </cols>
  <sheetData>
    <row r="2" spans="1:13" ht="34" x14ac:dyDescent="0.2">
      <c r="A2" s="15" t="s">
        <v>76</v>
      </c>
      <c r="B2" s="13" t="s">
        <v>72</v>
      </c>
      <c r="C2" s="40" t="s">
        <v>89</v>
      </c>
      <c r="D2" s="40"/>
      <c r="E2" s="40"/>
      <c r="F2" s="40"/>
      <c r="G2" s="40"/>
      <c r="H2" s="40"/>
      <c r="I2" s="40"/>
      <c r="J2" s="40"/>
      <c r="K2" s="40"/>
    </row>
    <row r="3" spans="1:13" s="14" customFormat="1" x14ac:dyDescent="0.2">
      <c r="A3" s="14" t="s">
        <v>73</v>
      </c>
      <c r="B3" s="12">
        <v>24</v>
      </c>
      <c r="C3" s="1">
        <v>45293</v>
      </c>
      <c r="D3" s="1">
        <v>45307</v>
      </c>
      <c r="E3" s="1">
        <v>45321</v>
      </c>
      <c r="F3" s="1">
        <v>45335</v>
      </c>
      <c r="G3" s="1">
        <v>45349</v>
      </c>
      <c r="H3" s="1">
        <v>45363</v>
      </c>
      <c r="I3" s="1">
        <f>H3+14</f>
        <v>45377</v>
      </c>
      <c r="J3" s="1">
        <f t="shared" ref="J3:K3" si="0">I3+14</f>
        <v>45391</v>
      </c>
      <c r="K3" s="1">
        <f t="shared" si="0"/>
        <v>45405</v>
      </c>
      <c r="M3" s="26">
        <f>COUNTA(C3:K3)</f>
        <v>9</v>
      </c>
    </row>
    <row r="4" spans="1:13" s="14" customFormat="1" x14ac:dyDescent="0.2">
      <c r="A4" s="14" t="s">
        <v>74</v>
      </c>
      <c r="B4" s="17"/>
      <c r="C4" s="1">
        <v>45053</v>
      </c>
      <c r="D4" s="1">
        <f>C4+14</f>
        <v>45067</v>
      </c>
      <c r="E4" s="1">
        <f t="shared" ref="E4:J4" si="1">D4+14</f>
        <v>45081</v>
      </c>
      <c r="F4" s="1">
        <f t="shared" si="1"/>
        <v>45095</v>
      </c>
      <c r="G4" s="1">
        <f t="shared" si="1"/>
        <v>45109</v>
      </c>
      <c r="H4" s="1">
        <f t="shared" si="1"/>
        <v>45123</v>
      </c>
      <c r="I4" s="1">
        <f t="shared" si="1"/>
        <v>45137</v>
      </c>
      <c r="J4" s="1">
        <f t="shared" si="1"/>
        <v>45151</v>
      </c>
      <c r="M4" s="26">
        <f t="shared" ref="M3:M4" si="2">COUNTA(C4:L4)</f>
        <v>8</v>
      </c>
    </row>
    <row r="5" spans="1:13" s="14" customFormat="1" ht="17" thickBot="1" x14ac:dyDescent="0.25">
      <c r="A5" s="14" t="s">
        <v>75</v>
      </c>
      <c r="B5" s="17"/>
      <c r="C5" s="1">
        <v>45545</v>
      </c>
      <c r="D5" s="1">
        <f>C5+14</f>
        <v>45559</v>
      </c>
      <c r="E5" s="1">
        <f t="shared" ref="E5:I5" si="3">D5+14</f>
        <v>45573</v>
      </c>
      <c r="F5" s="1">
        <f t="shared" si="3"/>
        <v>45587</v>
      </c>
      <c r="G5" s="1">
        <f t="shared" si="3"/>
        <v>45601</v>
      </c>
      <c r="H5" s="1">
        <f>G5+14</f>
        <v>45615</v>
      </c>
      <c r="I5" s="1">
        <f t="shared" si="3"/>
        <v>45629</v>
      </c>
      <c r="J5" s="1"/>
      <c r="M5" s="26">
        <f t="shared" ref="M5:M11" si="4">COUNTA(C5:L5)</f>
        <v>7</v>
      </c>
    </row>
    <row r="6" spans="1:13" s="14" customFormat="1" ht="17" thickBot="1" x14ac:dyDescent="0.25">
      <c r="B6" s="17"/>
      <c r="M6" s="38">
        <f>SUM(M3:M5)</f>
        <v>24</v>
      </c>
    </row>
    <row r="7" spans="1:13" s="26" customFormat="1" ht="17" thickBot="1" x14ac:dyDescent="0.25">
      <c r="B7" s="17"/>
      <c r="M7" s="42"/>
    </row>
    <row r="8" spans="1:13" s="14" customFormat="1" ht="17" thickBot="1" x14ac:dyDescent="0.25">
      <c r="A8" s="27" t="s">
        <v>19</v>
      </c>
      <c r="B8" s="12">
        <v>8</v>
      </c>
      <c r="C8" s="1">
        <v>45300</v>
      </c>
      <c r="D8" s="1">
        <v>45370</v>
      </c>
      <c r="E8" s="1">
        <v>45426</v>
      </c>
      <c r="F8" s="1">
        <v>45461</v>
      </c>
      <c r="G8" s="1">
        <v>45517</v>
      </c>
      <c r="H8" s="1">
        <v>45552</v>
      </c>
      <c r="I8" s="1">
        <v>45580</v>
      </c>
      <c r="J8" s="1">
        <v>45615</v>
      </c>
      <c r="K8" s="26"/>
      <c r="L8" s="26"/>
      <c r="M8" s="38">
        <f t="shared" si="4"/>
        <v>8</v>
      </c>
    </row>
    <row r="9" spans="1:13" s="14" customFormat="1" ht="17" thickBot="1" x14ac:dyDescent="0.25">
      <c r="A9" s="27" t="s">
        <v>21</v>
      </c>
      <c r="B9" s="12">
        <v>8</v>
      </c>
      <c r="C9" s="1">
        <v>45342</v>
      </c>
      <c r="D9" s="1">
        <v>45356</v>
      </c>
      <c r="E9" s="1">
        <v>45440</v>
      </c>
      <c r="F9" s="1">
        <v>45531</v>
      </c>
      <c r="G9" s="1">
        <v>45566</v>
      </c>
      <c r="H9" s="1">
        <v>45629</v>
      </c>
      <c r="I9" s="26"/>
      <c r="J9" s="26"/>
      <c r="K9" s="26"/>
      <c r="L9" s="26"/>
      <c r="M9" s="38">
        <f t="shared" si="4"/>
        <v>6</v>
      </c>
    </row>
    <row r="10" spans="1:13" s="14" customFormat="1" ht="17" thickBot="1" x14ac:dyDescent="0.25">
      <c r="A10" s="27" t="s">
        <v>33</v>
      </c>
      <c r="B10" s="12">
        <v>6</v>
      </c>
      <c r="C10" s="1">
        <v>45314</v>
      </c>
      <c r="D10" s="1">
        <v>45412</v>
      </c>
      <c r="E10" s="1">
        <v>45503</v>
      </c>
      <c r="F10" s="1">
        <v>45594</v>
      </c>
      <c r="G10" s="26"/>
      <c r="H10" s="26"/>
      <c r="I10" s="26"/>
      <c r="J10" s="26"/>
      <c r="K10" s="26"/>
      <c r="L10" s="26"/>
      <c r="M10" s="38">
        <f t="shared" si="4"/>
        <v>4</v>
      </c>
    </row>
    <row r="11" spans="1:13" s="14" customFormat="1" ht="17" thickBot="1" x14ac:dyDescent="0.25">
      <c r="A11" s="27" t="s">
        <v>35</v>
      </c>
      <c r="B11" s="12">
        <v>4</v>
      </c>
      <c r="C11" s="1">
        <v>45398</v>
      </c>
      <c r="D11" s="1">
        <v>45602</v>
      </c>
      <c r="E11" s="26"/>
      <c r="F11" s="26"/>
      <c r="G11" s="26"/>
      <c r="H11" s="26"/>
      <c r="I11" s="26"/>
      <c r="J11" s="26"/>
      <c r="K11" s="26"/>
      <c r="L11" s="26"/>
      <c r="M11" s="38">
        <f t="shared" si="4"/>
        <v>2</v>
      </c>
    </row>
  </sheetData>
  <mergeCells count="1">
    <mergeCell ref="C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FEAAB-4698-7048-B58E-72666FDB1B3B}">
  <dimension ref="A2:N6"/>
  <sheetViews>
    <sheetView workbookViewId="0">
      <selection activeCell="N3" sqref="N3"/>
    </sheetView>
  </sheetViews>
  <sheetFormatPr baseColWidth="10" defaultRowHeight="16" x14ac:dyDescent="0.2"/>
  <cols>
    <col min="1" max="1" width="25.1640625" style="14" bestFit="1" customWidth="1"/>
    <col min="2" max="2" width="9" style="14" customWidth="1"/>
    <col min="3" max="16384" width="10.83203125" style="14"/>
  </cols>
  <sheetData>
    <row r="2" spans="1:14" ht="34" x14ac:dyDescent="0.2">
      <c r="A2" s="15" t="s">
        <v>7</v>
      </c>
      <c r="B2" s="13" t="s">
        <v>72</v>
      </c>
      <c r="C2" s="40" t="s">
        <v>89</v>
      </c>
      <c r="D2" s="40"/>
      <c r="E2" s="40"/>
      <c r="F2" s="40"/>
      <c r="G2" s="40"/>
      <c r="H2" s="40"/>
      <c r="I2" s="40"/>
      <c r="J2" s="40"/>
      <c r="K2" s="40"/>
      <c r="L2" s="26"/>
      <c r="M2" s="26"/>
      <c r="N2" s="26" t="s">
        <v>48</v>
      </c>
    </row>
    <row r="3" spans="1:14" x14ac:dyDescent="0.2">
      <c r="A3" s="14" t="s">
        <v>77</v>
      </c>
      <c r="B3" s="12">
        <v>24</v>
      </c>
      <c r="C3" s="1">
        <v>45293</v>
      </c>
      <c r="D3" s="1">
        <v>45307</v>
      </c>
      <c r="E3" s="1">
        <v>45314</v>
      </c>
      <c r="F3" s="1">
        <v>45328</v>
      </c>
      <c r="G3" s="1">
        <f>F3+14</f>
        <v>45342</v>
      </c>
      <c r="H3" s="1">
        <f t="shared" ref="H3:L3" si="0">G3+14</f>
        <v>45356</v>
      </c>
      <c r="I3" s="1">
        <f t="shared" si="0"/>
        <v>45370</v>
      </c>
      <c r="J3" s="1">
        <f t="shared" si="0"/>
        <v>45384</v>
      </c>
      <c r="K3" s="1">
        <f t="shared" si="0"/>
        <v>45398</v>
      </c>
      <c r="L3" s="1">
        <f t="shared" si="0"/>
        <v>45412</v>
      </c>
      <c r="M3" s="26"/>
      <c r="N3" s="26">
        <f>COUNTA(C3:L3)</f>
        <v>10</v>
      </c>
    </row>
    <row r="4" spans="1:14" x14ac:dyDescent="0.2">
      <c r="A4" s="14" t="s">
        <v>78</v>
      </c>
      <c r="B4" s="12"/>
      <c r="C4" s="1">
        <v>45426</v>
      </c>
      <c r="D4" s="1">
        <v>45447</v>
      </c>
      <c r="E4" s="1">
        <f>D4+14</f>
        <v>45461</v>
      </c>
      <c r="F4" s="1">
        <f t="shared" ref="F4:J4" si="1">E4+14</f>
        <v>45475</v>
      </c>
      <c r="G4" s="1">
        <f t="shared" si="1"/>
        <v>45489</v>
      </c>
      <c r="H4" s="1">
        <f t="shared" si="1"/>
        <v>45503</v>
      </c>
      <c r="I4" s="1">
        <f t="shared" si="1"/>
        <v>45517</v>
      </c>
      <c r="J4" s="1"/>
      <c r="K4" s="26"/>
      <c r="L4" s="26"/>
      <c r="M4" s="26"/>
      <c r="N4" s="26">
        <f t="shared" ref="N4:N5" si="2">COUNTA(C4:L4)</f>
        <v>7</v>
      </c>
    </row>
    <row r="5" spans="1:14" ht="17" thickBot="1" x14ac:dyDescent="0.25">
      <c r="A5" s="14" t="s">
        <v>79</v>
      </c>
      <c r="B5" s="12"/>
      <c r="C5" s="1">
        <v>45538</v>
      </c>
      <c r="D5" s="1">
        <f>C5+14</f>
        <v>45552</v>
      </c>
      <c r="E5" s="1">
        <f t="shared" ref="E5:J5" si="3">D5+14</f>
        <v>45566</v>
      </c>
      <c r="F5" s="1">
        <f t="shared" si="3"/>
        <v>45580</v>
      </c>
      <c r="G5" s="1">
        <v>45602</v>
      </c>
      <c r="H5" s="1">
        <v>45615</v>
      </c>
      <c r="I5" s="1">
        <f t="shared" si="3"/>
        <v>45629</v>
      </c>
      <c r="J5" s="1">
        <v>45636</v>
      </c>
      <c r="K5" s="1"/>
      <c r="L5" s="26"/>
      <c r="M5" s="26"/>
      <c r="N5" s="26">
        <f t="shared" si="2"/>
        <v>8</v>
      </c>
    </row>
    <row r="6" spans="1:14" ht="17" thickBot="1" x14ac:dyDescent="0.25">
      <c r="B6" s="17"/>
      <c r="N6" s="38">
        <f>SUM(N3:N5)</f>
        <v>25</v>
      </c>
    </row>
  </sheetData>
  <mergeCells count="1">
    <mergeCell ref="C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Intro</vt:lpstr>
      <vt:lpstr>2024 Calendar</vt:lpstr>
      <vt:lpstr>By Division 2024</vt:lpstr>
      <vt:lpstr>Cleaning Group</vt:lpstr>
      <vt:lpstr>Mowing</vt:lpstr>
      <vt:lpstr>ButtonsJanApril</vt:lpstr>
      <vt:lpstr>ButtonsMayAug</vt:lpstr>
      <vt:lpstr>ButtonsSepDec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2022-12-07T02:13:41Z</dcterms:created>
  <dcterms:modified xsi:type="dcterms:W3CDTF">2023-11-29T07:18:34Z</dcterms:modified>
</cp:coreProperties>
</file>